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N34TER\Desktop\Temp\"/>
    </mc:Choice>
  </mc:AlternateContent>
  <xr:revisionPtr revIDLastSave="0" documentId="8_{6B22E2C4-B114-4C0D-814C-836C34EFDC48}" xr6:coauthVersionLast="47" xr6:coauthVersionMax="47" xr10:uidLastSave="{00000000-0000-0000-0000-000000000000}"/>
  <bookViews>
    <workbookView xWindow="28680" yWindow="-2445" windowWidth="29040" windowHeight="15840" activeTab="2" xr2:uid="{1D091E55-1FEF-44DA-A3E5-9C6FE757CADC}"/>
  </bookViews>
  <sheets>
    <sheet name="Read Me" sheetId="5" r:id="rId1"/>
    <sheet name="Salary Rate Table NO Cap" sheetId="4" r:id="rId2"/>
    <sheet name="Salary Rate Table WITH Cap" sheetId="7" r:id="rId3"/>
    <sheet name="Salary Rate Calc." sheetId="1" r:id="rId4"/>
    <sheet name="Specific Rates of Pay" sheetId="6" r:id="rId5"/>
    <sheet name="Validation" sheetId="2" state="hidden" r:id="rId6"/>
  </sheets>
  <externalReferences>
    <externalReference r:id="rId7"/>
  </externalReferences>
  <definedNames>
    <definedName name="_xlnm.Print_Area" localSheetId="0">'Read Me'!$A$1:$J$48</definedName>
    <definedName name="_xlnm.Print_Area" localSheetId="3">'Salary Rate Calc.'!$A$1:$H$31</definedName>
    <definedName name="_xlnm.Print_Area" localSheetId="1">'Salary Rate Table NO Cap'!$A$1:$E$47</definedName>
    <definedName name="_xlnm.Print_Area" localSheetId="4">'Specific Rates of Pay'!$A$1:$H$41</definedName>
    <definedName name="_xlnm.Print_Area" localSheetId="5">Validation!$A$1:$J$48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0" i="6" l="1"/>
  <c r="E43" i="7"/>
  <c r="E48" i="4"/>
  <c r="F34" i="7"/>
  <c r="F30" i="7"/>
  <c r="F26" i="7"/>
  <c r="F20" i="7"/>
  <c r="F14" i="7"/>
  <c r="F12" i="7"/>
  <c r="F8" i="7"/>
  <c r="G20" i="6"/>
  <c r="D35" i="6" s="1"/>
  <c r="E20" i="6"/>
  <c r="L18" i="6"/>
  <c r="I18" i="6"/>
  <c r="I20" i="6" s="1"/>
  <c r="L20" i="6" s="1"/>
  <c r="F18" i="6"/>
  <c r="L15" i="6"/>
  <c r="I15" i="6"/>
  <c r="F15" i="6"/>
  <c r="G15" i="6" s="1"/>
  <c r="D7" i="6"/>
  <c r="D6" i="6"/>
  <c r="D5" i="6"/>
  <c r="G30" i="1"/>
  <c r="J64" i="5"/>
  <c r="J30" i="5"/>
  <c r="A38" i="2"/>
  <c r="E38" i="4"/>
  <c r="E34" i="4"/>
  <c r="E30" i="4"/>
  <c r="E26" i="4"/>
  <c r="E20" i="4"/>
  <c r="E14" i="4"/>
  <c r="E12" i="4"/>
  <c r="E8" i="4"/>
  <c r="G17" i="1"/>
  <c r="F22" i="1" s="1"/>
  <c r="F15" i="1"/>
  <c r="F12" i="1"/>
  <c r="G12" i="1" s="1"/>
  <c r="D6" i="1"/>
  <c r="D5" i="1"/>
  <c r="D4" i="1"/>
  <c r="E8" i="1"/>
  <c r="J15" i="6" l="1"/>
  <c r="K15" i="6" s="1"/>
  <c r="D18" i="6"/>
  <c r="G18" i="6" s="1"/>
  <c r="M15" i="6"/>
  <c r="D24" i="6"/>
  <c r="D26" i="6"/>
  <c r="D28" i="6"/>
  <c r="D30" i="6"/>
  <c r="D34" i="6"/>
  <c r="D36" i="6"/>
  <c r="M20" i="6"/>
  <c r="D23" i="6"/>
  <c r="D25" i="6"/>
  <c r="D27" i="6"/>
  <c r="D29" i="6"/>
  <c r="D33" i="6"/>
  <c r="L12" i="1"/>
  <c r="E17" i="1"/>
  <c r="D8" i="2"/>
  <c r="D7" i="2"/>
  <c r="E3" i="2"/>
  <c r="E24" i="6" l="1"/>
  <c r="E34" i="6" s="1"/>
  <c r="E28" i="6"/>
  <c r="F27" i="6"/>
  <c r="G27" i="6" s="1"/>
  <c r="E27" i="6"/>
  <c r="E26" i="6"/>
  <c r="E36" i="6" s="1"/>
  <c r="E25" i="6"/>
  <c r="E35" i="6" s="1"/>
  <c r="F25" i="6"/>
  <c r="F35" i="6" s="1"/>
  <c r="E23" i="6"/>
  <c r="E33" i="6" s="1"/>
  <c r="J18" i="6"/>
  <c r="K18" i="6" s="1"/>
  <c r="M18" i="6"/>
  <c r="E30" i="6"/>
  <c r="E29" i="6"/>
  <c r="F29" i="6"/>
  <c r="A39" i="2"/>
  <c r="D6" i="2"/>
  <c r="F5" i="2"/>
  <c r="F7" i="2"/>
  <c r="AD5" i="2"/>
  <c r="AD4" i="2"/>
  <c r="AD9" i="2" s="1"/>
  <c r="W69" i="2"/>
  <c r="Q69" i="2"/>
  <c r="AJ18" i="2"/>
  <c r="AM18" i="2" s="1"/>
  <c r="L15" i="1"/>
  <c r="I15" i="1"/>
  <c r="I12" i="1"/>
  <c r="G29" i="6" l="1"/>
  <c r="G25" i="6"/>
  <c r="F28" i="6"/>
  <c r="G28" i="6" s="1"/>
  <c r="F30" i="6"/>
  <c r="G30" i="6" s="1"/>
  <c r="F26" i="6"/>
  <c r="F36" i="6" s="1"/>
  <c r="G36" i="6" s="1"/>
  <c r="G26" i="6"/>
  <c r="F24" i="6"/>
  <c r="F34" i="6" s="1"/>
  <c r="G34" i="6" s="1"/>
  <c r="G35" i="6"/>
  <c r="F23" i="6"/>
  <c r="D55" i="2"/>
  <c r="C39" i="2"/>
  <c r="E39" i="2"/>
  <c r="G6" i="2"/>
  <c r="M12" i="1"/>
  <c r="D15" i="1"/>
  <c r="G15" i="1" s="1"/>
  <c r="Q4" i="2"/>
  <c r="U4" i="2" s="1"/>
  <c r="Q34" i="2"/>
  <c r="Q36" i="2"/>
  <c r="Q14" i="2"/>
  <c r="Q58" i="2"/>
  <c r="Q12" i="2"/>
  <c r="Q49" i="2"/>
  <c r="Q63" i="2"/>
  <c r="Q22" i="2"/>
  <c r="Q47" i="2"/>
  <c r="Q24" i="2"/>
  <c r="Q28" i="2"/>
  <c r="Q65" i="2"/>
  <c r="Q9" i="2"/>
  <c r="Q19" i="2"/>
  <c r="Q29" i="2"/>
  <c r="Q42" i="2"/>
  <c r="Q55" i="2"/>
  <c r="Q66" i="2"/>
  <c r="Q8" i="2"/>
  <c r="Q54" i="2"/>
  <c r="Q3" i="2"/>
  <c r="U3" i="2" s="1"/>
  <c r="AH9" i="2"/>
  <c r="AK9" i="2" s="1"/>
  <c r="AH19" i="2"/>
  <c r="AI19" i="2" s="1"/>
  <c r="AJ19" i="2" s="1"/>
  <c r="AM19" i="2" s="1"/>
  <c r="AN19" i="2" s="1"/>
  <c r="Q30" i="2"/>
  <c r="Q43" i="2"/>
  <c r="Q56" i="2"/>
  <c r="Q41" i="2"/>
  <c r="Q10" i="2"/>
  <c r="Q21" i="2"/>
  <c r="Q33" i="2"/>
  <c r="Q46" i="2"/>
  <c r="Q57" i="2"/>
  <c r="E7" i="2"/>
  <c r="Q13" i="2"/>
  <c r="Q23" i="2"/>
  <c r="Q35" i="2"/>
  <c r="Q48" i="2"/>
  <c r="Q62" i="2"/>
  <c r="Q6" i="2"/>
  <c r="Q15" i="2"/>
  <c r="Q27" i="2"/>
  <c r="Q40" i="2"/>
  <c r="Q50" i="2"/>
  <c r="Q64" i="2"/>
  <c r="D9" i="2"/>
  <c r="AH20" i="2"/>
  <c r="AI20" i="2" s="1"/>
  <c r="Q7" i="2"/>
  <c r="Q11" i="2"/>
  <c r="Q17" i="2"/>
  <c r="Q25" i="2"/>
  <c r="Q32" i="2"/>
  <c r="Q38" i="2"/>
  <c r="Q52" i="2"/>
  <c r="Q60" i="2"/>
  <c r="Q68" i="2"/>
  <c r="Q16" i="2"/>
  <c r="Q20" i="2"/>
  <c r="Q31" i="2"/>
  <c r="Q37" i="2"/>
  <c r="Q44" i="2"/>
  <c r="Q51" i="2"/>
  <c r="Q59" i="2"/>
  <c r="Q67" i="2"/>
  <c r="Q5" i="2"/>
  <c r="Q18" i="2"/>
  <c r="Q26" i="2"/>
  <c r="Q39" i="2"/>
  <c r="Q45" i="2"/>
  <c r="Q53" i="2"/>
  <c r="Q61" i="2"/>
  <c r="E5" i="2"/>
  <c r="D38" i="2" s="1"/>
  <c r="AN18" i="2"/>
  <c r="AL18" i="2"/>
  <c r="I17" i="1"/>
  <c r="J12" i="1"/>
  <c r="K12" i="1" s="1"/>
  <c r="G24" i="6" l="1"/>
  <c r="F33" i="6"/>
  <c r="G33" i="6" s="1"/>
  <c r="G23" i="6"/>
  <c r="AE9" i="2"/>
  <c r="D39" i="2"/>
  <c r="O71" i="2"/>
  <c r="Q71" i="2" s="1"/>
  <c r="Q72" i="2" s="1"/>
  <c r="A41" i="2"/>
  <c r="D56" i="2" s="1"/>
  <c r="L17" i="1"/>
  <c r="M17" i="1" s="1"/>
  <c r="F27" i="1"/>
  <c r="G27" i="1" s="1"/>
  <c r="F20" i="1"/>
  <c r="G20" i="1" s="1"/>
  <c r="AM20" i="2"/>
  <c r="AN20" i="2" s="1"/>
  <c r="AD7" i="2"/>
  <c r="AD6" i="2"/>
  <c r="AD10" i="2" s="1"/>
  <c r="AE6" i="2"/>
  <c r="AE4" i="2"/>
  <c r="AL19" i="2"/>
  <c r="AH10" i="2"/>
  <c r="AH11" i="2" s="1"/>
  <c r="AJ20" i="2"/>
  <c r="AL20" i="2" s="1"/>
  <c r="AK18" i="2"/>
  <c r="F9" i="2"/>
  <c r="E41" i="2" s="1"/>
  <c r="F40" i="2" s="1"/>
  <c r="AK19" i="2"/>
  <c r="E9" i="2"/>
  <c r="D41" i="2" s="1"/>
  <c r="AH21" i="2"/>
  <c r="AI21" i="2" s="1"/>
  <c r="AJ10" i="2"/>
  <c r="F24" i="1"/>
  <c r="G24" i="1" s="1"/>
  <c r="F21" i="1"/>
  <c r="G21" i="1" s="1"/>
  <c r="G22" i="1"/>
  <c r="F26" i="1"/>
  <c r="G26" i="1" s="1"/>
  <c r="F25" i="1"/>
  <c r="G25" i="1" s="1"/>
  <c r="F23" i="1"/>
  <c r="G23" i="1" s="1"/>
  <c r="D40" i="2" l="1"/>
  <c r="A40" i="2"/>
  <c r="C56" i="2"/>
  <c r="AE7" i="2"/>
  <c r="AE5" i="2"/>
  <c r="AL9" i="2"/>
  <c r="AM9" i="2" s="1"/>
  <c r="AE10" i="2"/>
  <c r="AK10" i="2"/>
  <c r="AJ11" i="2" s="1"/>
  <c r="G8" i="2"/>
  <c r="H8" i="2" s="1"/>
  <c r="AK20" i="2"/>
  <c r="AM21" i="2"/>
  <c r="AN21" i="2" s="1"/>
  <c r="AH22" i="2"/>
  <c r="AK11" i="2"/>
  <c r="AH12" i="2"/>
  <c r="AJ21" i="2"/>
  <c r="J15" i="1"/>
  <c r="K15" i="1" s="1"/>
  <c r="M15" i="1"/>
  <c r="B56" i="2" l="1"/>
  <c r="B55" i="2"/>
  <c r="E40" i="2"/>
  <c r="G41" i="2" s="1"/>
  <c r="C41" i="2"/>
  <c r="C40" i="2"/>
  <c r="E55" i="2"/>
  <c r="E56" i="2"/>
  <c r="I8" i="2"/>
  <c r="AD8" i="2" s="1"/>
  <c r="AE8" i="2"/>
  <c r="AL10" i="2"/>
  <c r="AM10" i="2" s="1"/>
  <c r="U5" i="2"/>
  <c r="U6" i="2"/>
  <c r="U7" i="2"/>
  <c r="U8" i="2"/>
  <c r="AK21" i="2"/>
  <c r="AL21" i="2"/>
  <c r="AK12" i="2"/>
  <c r="AH13" i="2"/>
  <c r="AJ12" i="2"/>
  <c r="AL11" i="2"/>
  <c r="AM11" i="2" s="1"/>
  <c r="AI22" i="2"/>
  <c r="AM22" i="2" s="1"/>
  <c r="AN22" i="2" s="1"/>
  <c r="G40" i="2" l="1"/>
  <c r="C43" i="2" s="1"/>
  <c r="C44" i="2"/>
  <c r="AH23" i="2"/>
  <c r="AI23" i="2" s="1"/>
  <c r="AK13" i="2"/>
  <c r="AH14" i="2"/>
  <c r="AK14" i="2" s="1"/>
  <c r="AL14" i="2" s="1"/>
  <c r="AL12" i="2"/>
  <c r="AM12" i="2" s="1"/>
  <c r="AJ13" i="2"/>
  <c r="AJ22" i="2"/>
  <c r="C46" i="2" l="1"/>
  <c r="C45" i="2"/>
  <c r="AJ23" i="2"/>
  <c r="AL22" i="2"/>
  <c r="AK22" i="2"/>
  <c r="AJ14" i="2"/>
  <c r="AM14" i="2" s="1"/>
  <c r="AL13" i="2"/>
  <c r="AM13" i="2" s="1"/>
  <c r="AM23" i="2"/>
  <c r="AN23" i="2" s="1"/>
  <c r="F44" i="2" l="1"/>
  <c r="F45" i="2"/>
  <c r="C47" i="2"/>
  <c r="AL23" i="2"/>
  <c r="AK23" i="2"/>
  <c r="O70" i="2"/>
  <c r="O72" i="2" s="1"/>
  <c r="N66" i="2" l="1"/>
  <c r="P66" i="2" s="1"/>
  <c r="N13" i="2"/>
  <c r="R13" i="2" s="1"/>
  <c r="U13" i="2" s="1"/>
  <c r="N59" i="2"/>
  <c r="R59" i="2" s="1"/>
  <c r="U59" i="2" s="1"/>
  <c r="N54" i="2"/>
  <c r="R54" i="2" s="1"/>
  <c r="U54" i="2" s="1"/>
  <c r="N55" i="2"/>
  <c r="W54" i="2" s="1"/>
  <c r="N69" i="2"/>
  <c r="X69" i="2" s="1"/>
  <c r="Y69" i="2" s="1"/>
  <c r="N63" i="2"/>
  <c r="R63" i="2" s="1"/>
  <c r="U63" i="2" s="1"/>
  <c r="N62" i="2"/>
  <c r="W61" i="2" s="1"/>
  <c r="N6" i="2"/>
  <c r="P6" i="2" s="1"/>
  <c r="N51" i="2"/>
  <c r="R51" i="2" s="1"/>
  <c r="U51" i="2" s="1"/>
  <c r="N10" i="2"/>
  <c r="P10" i="2" s="1"/>
  <c r="N24" i="2"/>
  <c r="R24" i="2" s="1"/>
  <c r="U24" i="2" s="1"/>
  <c r="N8" i="2"/>
  <c r="R8" i="2" s="1"/>
  <c r="N9" i="2"/>
  <c r="R9" i="2" s="1"/>
  <c r="U9" i="2" s="1"/>
  <c r="N52" i="2"/>
  <c r="X52" i="2" s="1"/>
  <c r="Y52" i="2" s="1"/>
  <c r="N53" i="2"/>
  <c r="R53" i="2" s="1"/>
  <c r="U53" i="2" s="1"/>
  <c r="N37" i="2"/>
  <c r="R37" i="2" s="1"/>
  <c r="U37" i="2" s="1"/>
  <c r="N25" i="2"/>
  <c r="N4" i="2"/>
  <c r="X4" i="2" s="1"/>
  <c r="N3" i="2"/>
  <c r="R3" i="2" s="1"/>
  <c r="N32" i="2"/>
  <c r="W31" i="2" s="1"/>
  <c r="N33" i="2"/>
  <c r="R33" i="2" s="1"/>
  <c r="U33" i="2" s="1"/>
  <c r="N31" i="2"/>
  <c r="W30" i="2" s="1"/>
  <c r="N60" i="2"/>
  <c r="X60" i="2" s="1"/>
  <c r="Y60" i="2" s="1"/>
  <c r="N16" i="2"/>
  <c r="R16" i="2" s="1"/>
  <c r="U16" i="2" s="1"/>
  <c r="N17" i="2"/>
  <c r="R17" i="2" s="1"/>
  <c r="U17" i="2" s="1"/>
  <c r="N11" i="2"/>
  <c r="N12" i="2"/>
  <c r="W11" i="2" s="1"/>
  <c r="P12" i="2"/>
  <c r="N50" i="2"/>
  <c r="X50" i="2" s="1"/>
  <c r="Y50" i="2" s="1"/>
  <c r="N34" i="2"/>
  <c r="W33" i="2" s="1"/>
  <c r="N35" i="2"/>
  <c r="N41" i="2"/>
  <c r="R41" i="2" s="1"/>
  <c r="U41" i="2" s="1"/>
  <c r="N42" i="2"/>
  <c r="W41" i="2" s="1"/>
  <c r="N57" i="2"/>
  <c r="R57" i="2" s="1"/>
  <c r="U57" i="2" s="1"/>
  <c r="N58" i="2"/>
  <c r="X58" i="2" s="1"/>
  <c r="Y58" i="2" s="1"/>
  <c r="N61" i="2"/>
  <c r="R61" i="2" s="1"/>
  <c r="U61" i="2" s="1"/>
  <c r="N28" i="2"/>
  <c r="N45" i="2"/>
  <c r="W44" i="2" s="1"/>
  <c r="N46" i="2"/>
  <c r="W45" i="2" s="1"/>
  <c r="N36" i="2"/>
  <c r="N18" i="2"/>
  <c r="R18" i="2" s="1"/>
  <c r="U18" i="2" s="1"/>
  <c r="N19" i="2"/>
  <c r="N49" i="2"/>
  <c r="R49" i="2" s="1"/>
  <c r="U49" i="2" s="1"/>
  <c r="N7" i="2"/>
  <c r="P7" i="2" s="1"/>
  <c r="N38" i="2"/>
  <c r="R38" i="2" s="1"/>
  <c r="U38" i="2" s="1"/>
  <c r="N39" i="2"/>
  <c r="W38" i="2" s="1"/>
  <c r="N40" i="2"/>
  <c r="R40" i="2" s="1"/>
  <c r="U40" i="2" s="1"/>
  <c r="N67" i="2"/>
  <c r="W66" i="2" s="1"/>
  <c r="N65" i="2"/>
  <c r="R65" i="2" s="1"/>
  <c r="U65" i="2" s="1"/>
  <c r="N29" i="2"/>
  <c r="R29" i="2" s="1"/>
  <c r="U29" i="2" s="1"/>
  <c r="N30" i="2"/>
  <c r="R30" i="2" s="1"/>
  <c r="U30" i="2" s="1"/>
  <c r="N20" i="2"/>
  <c r="W19" i="2" s="1"/>
  <c r="N21" i="2"/>
  <c r="R21" i="2" s="1"/>
  <c r="U21" i="2" s="1"/>
  <c r="N14" i="2"/>
  <c r="R14" i="2" s="1"/>
  <c r="U14" i="2" s="1"/>
  <c r="N15" i="2"/>
  <c r="R15" i="2" s="1"/>
  <c r="U15" i="2" s="1"/>
  <c r="N22" i="2"/>
  <c r="R22" i="2" s="1"/>
  <c r="U22" i="2" s="1"/>
  <c r="N23" i="2"/>
  <c r="R23" i="2" s="1"/>
  <c r="U23" i="2" s="1"/>
  <c r="N64" i="2"/>
  <c r="X64" i="2" s="1"/>
  <c r="Y64" i="2" s="1"/>
  <c r="N26" i="2"/>
  <c r="W25" i="2" s="1"/>
  <c r="N27" i="2"/>
  <c r="N56" i="2"/>
  <c r="X56" i="2" s="1"/>
  <c r="Y56" i="2" s="1"/>
  <c r="N68" i="2"/>
  <c r="X68" i="2" s="1"/>
  <c r="Y68" i="2" s="1"/>
  <c r="N47" i="2"/>
  <c r="X47" i="2" s="1"/>
  <c r="Y47" i="2" s="1"/>
  <c r="N48" i="2"/>
  <c r="X48" i="2" s="1"/>
  <c r="Y48" i="2" s="1"/>
  <c r="N5" i="2"/>
  <c r="X5" i="2" s="1"/>
  <c r="N43" i="2"/>
  <c r="N44" i="2"/>
  <c r="X44" i="2" s="1"/>
  <c r="Y44" i="2" s="1"/>
  <c r="P17" i="2" l="1"/>
  <c r="W16" i="2"/>
  <c r="P53" i="2"/>
  <c r="P23" i="2"/>
  <c r="P3" i="2"/>
  <c r="W62" i="2"/>
  <c r="X16" i="2"/>
  <c r="Y16" i="2" s="1"/>
  <c r="W6" i="2"/>
  <c r="R39" i="2"/>
  <c r="U39" i="2" s="1"/>
  <c r="P21" i="2"/>
  <c r="X67" i="2"/>
  <c r="Y67" i="2" s="1"/>
  <c r="P49" i="2"/>
  <c r="P61" i="2"/>
  <c r="W7" i="2"/>
  <c r="R12" i="2"/>
  <c r="U12" i="2" s="1"/>
  <c r="P24" i="2"/>
  <c r="W47" i="2"/>
  <c r="X19" i="2"/>
  <c r="Y19" i="2" s="1"/>
  <c r="W49" i="2"/>
  <c r="P39" i="2"/>
  <c r="W57" i="2"/>
  <c r="W8" i="2"/>
  <c r="W36" i="2"/>
  <c r="X36" i="2" s="1"/>
  <c r="Y36" i="2" s="1"/>
  <c r="W59" i="2"/>
  <c r="P26" i="2"/>
  <c r="X8" i="2"/>
  <c r="Y8" i="2" s="1"/>
  <c r="W67" i="2"/>
  <c r="P15" i="2"/>
  <c r="P65" i="2"/>
  <c r="X45" i="2"/>
  <c r="Y45" i="2" s="1"/>
  <c r="X41" i="2"/>
  <c r="Y41" i="2" s="1"/>
  <c r="W56" i="2"/>
  <c r="P13" i="2"/>
  <c r="W20" i="2"/>
  <c r="X20" i="2" s="1"/>
  <c r="Y20" i="2" s="1"/>
  <c r="W64" i="2"/>
  <c r="W60" i="2"/>
  <c r="P50" i="2"/>
  <c r="P33" i="2"/>
  <c r="P9" i="2"/>
  <c r="W51" i="2"/>
  <c r="W68" i="2"/>
  <c r="X59" i="2"/>
  <c r="Y59" i="2" s="1"/>
  <c r="R42" i="2"/>
  <c r="U42" i="2" s="1"/>
  <c r="P52" i="2"/>
  <c r="W4" i="2"/>
  <c r="P55" i="2"/>
  <c r="R52" i="2"/>
  <c r="U52" i="2" s="1"/>
  <c r="X11" i="2"/>
  <c r="Y11" i="2" s="1"/>
  <c r="P47" i="2"/>
  <c r="P5" i="2"/>
  <c r="X55" i="2"/>
  <c r="Y55" i="2" s="1"/>
  <c r="R67" i="2"/>
  <c r="U67" i="2" s="1"/>
  <c r="R11" i="2"/>
  <c r="U11" i="2" s="1"/>
  <c r="X31" i="2"/>
  <c r="Y31" i="2" s="1"/>
  <c r="W55" i="2"/>
  <c r="R5" i="2"/>
  <c r="W14" i="2"/>
  <c r="X14" i="2" s="1"/>
  <c r="Y14" i="2" s="1"/>
  <c r="W29" i="2"/>
  <c r="X29" i="2" s="1"/>
  <c r="Y29" i="2" s="1"/>
  <c r="W39" i="2"/>
  <c r="X39" i="2" s="1"/>
  <c r="Y39" i="2" s="1"/>
  <c r="W52" i="2"/>
  <c r="P63" i="2"/>
  <c r="X54" i="2"/>
  <c r="Y54" i="2" s="1"/>
  <c r="P20" i="2"/>
  <c r="R56" i="2"/>
  <c r="U56" i="2" s="1"/>
  <c r="W18" i="2"/>
  <c r="X18" i="2" s="1"/>
  <c r="Y18" i="2" s="1"/>
  <c r="P19" i="2"/>
  <c r="W3" i="2"/>
  <c r="P11" i="2"/>
  <c r="X25" i="2"/>
  <c r="Y25" i="2" s="1"/>
  <c r="V9" i="2"/>
  <c r="AA5" i="2"/>
  <c r="Y5" i="2"/>
  <c r="X30" i="2"/>
  <c r="Y30" i="2" s="1"/>
  <c r="S3" i="2"/>
  <c r="AA4" i="2"/>
  <c r="Y4" i="2"/>
  <c r="P36" i="2"/>
  <c r="X33" i="2"/>
  <c r="Y33" i="2" s="1"/>
  <c r="W46" i="2"/>
  <c r="W9" i="2"/>
  <c r="X9" i="2" s="1"/>
  <c r="Y9" i="2" s="1"/>
  <c r="Z9" i="2" s="1"/>
  <c r="W5" i="2"/>
  <c r="P16" i="2"/>
  <c r="P43" i="2"/>
  <c r="P41" i="2"/>
  <c r="P59" i="2"/>
  <c r="X66" i="2"/>
  <c r="Y66" i="2" s="1"/>
  <c r="W10" i="2"/>
  <c r="X10" i="2" s="1"/>
  <c r="Y10" i="2" s="1"/>
  <c r="W23" i="2"/>
  <c r="X23" i="2" s="1"/>
  <c r="Y23" i="2" s="1"/>
  <c r="X53" i="2"/>
  <c r="Y53" i="2" s="1"/>
  <c r="R50" i="2"/>
  <c r="U50" i="2" s="1"/>
  <c r="R58" i="2"/>
  <c r="U58" i="2" s="1"/>
  <c r="R64" i="2"/>
  <c r="U64" i="2" s="1"/>
  <c r="R26" i="2"/>
  <c r="U26" i="2" s="1"/>
  <c r="X3" i="2"/>
  <c r="R34" i="2"/>
  <c r="U34" i="2" s="1"/>
  <c r="R45" i="2"/>
  <c r="U45" i="2" s="1"/>
  <c r="R31" i="2"/>
  <c r="U31" i="2" s="1"/>
  <c r="R68" i="2"/>
  <c r="U68" i="2" s="1"/>
  <c r="R55" i="2"/>
  <c r="U55" i="2" s="1"/>
  <c r="P56" i="2"/>
  <c r="W22" i="2"/>
  <c r="X22" i="2" s="1"/>
  <c r="Y22" i="2" s="1"/>
  <c r="P30" i="2"/>
  <c r="X65" i="2"/>
  <c r="Y65" i="2" s="1"/>
  <c r="P40" i="2"/>
  <c r="X61" i="2"/>
  <c r="Y61" i="2" s="1"/>
  <c r="P60" i="2"/>
  <c r="W32" i="2"/>
  <c r="X32" i="2" s="1"/>
  <c r="Y32" i="2" s="1"/>
  <c r="P4" i="2"/>
  <c r="W35" i="2"/>
  <c r="X35" i="2" s="1"/>
  <c r="Y35" i="2" s="1"/>
  <c r="P29" i="2"/>
  <c r="P25" i="2"/>
  <c r="R6" i="2"/>
  <c r="X63" i="2"/>
  <c r="Y63" i="2" s="1"/>
  <c r="W15" i="2"/>
  <c r="X15" i="2" s="1"/>
  <c r="Y15" i="2" s="1"/>
  <c r="W42" i="2"/>
  <c r="X42" i="2" s="1"/>
  <c r="Y42" i="2" s="1"/>
  <c r="P45" i="2"/>
  <c r="W40" i="2"/>
  <c r="X40" i="2" s="1"/>
  <c r="Y40" i="2" s="1"/>
  <c r="P51" i="2"/>
  <c r="R60" i="2"/>
  <c r="U60" i="2" s="1"/>
  <c r="R69" i="2"/>
  <c r="U69" i="2" s="1"/>
  <c r="R32" i="2"/>
  <c r="U32" i="2" s="1"/>
  <c r="R47" i="2"/>
  <c r="U47" i="2" s="1"/>
  <c r="R10" i="2"/>
  <c r="U10" i="2" s="1"/>
  <c r="P44" i="2"/>
  <c r="P64" i="2"/>
  <c r="X38" i="2"/>
  <c r="Y38" i="2" s="1"/>
  <c r="W48" i="2"/>
  <c r="R36" i="2"/>
  <c r="U36" i="2" s="1"/>
  <c r="P28" i="2"/>
  <c r="X57" i="2"/>
  <c r="Y57" i="2" s="1"/>
  <c r="P35" i="2"/>
  <c r="P31" i="2"/>
  <c r="R4" i="2"/>
  <c r="W28" i="2"/>
  <c r="X28" i="2" s="1"/>
  <c r="Y28" i="2" s="1"/>
  <c r="X46" i="2"/>
  <c r="Y46" i="2" s="1"/>
  <c r="W24" i="2"/>
  <c r="X24" i="2" s="1"/>
  <c r="Y24" i="2" s="1"/>
  <c r="P62" i="2"/>
  <c r="W58" i="2"/>
  <c r="P37" i="2"/>
  <c r="W65" i="2"/>
  <c r="W50" i="2"/>
  <c r="R27" i="2"/>
  <c r="U27" i="2" s="1"/>
  <c r="R66" i="2"/>
  <c r="U66" i="2" s="1"/>
  <c r="X6" i="2"/>
  <c r="R62" i="2"/>
  <c r="U62" i="2" s="1"/>
  <c r="R44" i="2"/>
  <c r="U44" i="2" s="1"/>
  <c r="R28" i="2"/>
  <c r="U28" i="2" s="1"/>
  <c r="R20" i="2"/>
  <c r="U20" i="2" s="1"/>
  <c r="X7" i="2"/>
  <c r="W43" i="2"/>
  <c r="X43" i="2" s="1"/>
  <c r="Y43" i="2" s="1"/>
  <c r="P48" i="2"/>
  <c r="P68" i="2"/>
  <c r="P27" i="2"/>
  <c r="W63" i="2"/>
  <c r="P67" i="2"/>
  <c r="R7" i="2"/>
  <c r="P46" i="2"/>
  <c r="W27" i="2"/>
  <c r="X27" i="2" s="1"/>
  <c r="Y27" i="2" s="1"/>
  <c r="P58" i="2"/>
  <c r="P42" i="2"/>
  <c r="W34" i="2"/>
  <c r="X49" i="2"/>
  <c r="Y49" i="2" s="1"/>
  <c r="P38" i="2"/>
  <c r="X51" i="2"/>
  <c r="Y51" i="2" s="1"/>
  <c r="X62" i="2"/>
  <c r="Y62" i="2" s="1"/>
  <c r="P32" i="2"/>
  <c r="P22" i="2"/>
  <c r="P69" i="2"/>
  <c r="P18" i="2"/>
  <c r="W12" i="2"/>
  <c r="X12" i="2" s="1"/>
  <c r="Y12" i="2" s="1"/>
  <c r="R48" i="2"/>
  <c r="U48" i="2" s="1"/>
  <c r="R25" i="2"/>
  <c r="U25" i="2" s="1"/>
  <c r="R46" i="2"/>
  <c r="U46" i="2" s="1"/>
  <c r="W37" i="2"/>
  <c r="X37" i="2" s="1"/>
  <c r="Y37" i="2" s="1"/>
  <c r="P34" i="2"/>
  <c r="W21" i="2"/>
  <c r="X21" i="2" s="1"/>
  <c r="Y21" i="2" s="1"/>
  <c r="P8" i="2"/>
  <c r="W17" i="2"/>
  <c r="X17" i="2" s="1"/>
  <c r="Y17" i="2" s="1"/>
  <c r="P14" i="2"/>
  <c r="P54" i="2"/>
  <c r="R35" i="2"/>
  <c r="U35" i="2" s="1"/>
  <c r="R19" i="2"/>
  <c r="U19" i="2" s="1"/>
  <c r="R43" i="2"/>
  <c r="U43" i="2" s="1"/>
  <c r="W26" i="2"/>
  <c r="X26" i="2" s="1"/>
  <c r="Y26" i="2" s="1"/>
  <c r="X34" i="2"/>
  <c r="Y34" i="2" s="1"/>
  <c r="P57" i="2"/>
  <c r="W13" i="2"/>
  <c r="X13" i="2" s="1"/>
  <c r="Y13" i="2" s="1"/>
  <c r="W53" i="2"/>
  <c r="R70" i="2" l="1"/>
  <c r="U72" i="2"/>
  <c r="Z10" i="2"/>
  <c r="Z11" i="2" s="1"/>
  <c r="Z12" i="2" s="1"/>
  <c r="Z13" i="2" s="1"/>
  <c r="Z14" i="2" s="1"/>
  <c r="Z15" i="2" s="1"/>
  <c r="Z16" i="2" s="1"/>
  <c r="Z17" i="2" s="1"/>
  <c r="Z18" i="2" s="1"/>
  <c r="Z19" i="2" s="1"/>
  <c r="Z20" i="2" s="1"/>
  <c r="Z21" i="2" s="1"/>
  <c r="Z22" i="2" s="1"/>
  <c r="Z23" i="2" s="1"/>
  <c r="Z24" i="2" s="1"/>
  <c r="Z25" i="2" s="1"/>
  <c r="Z26" i="2" s="1"/>
  <c r="Z27" i="2" s="1"/>
  <c r="Z28" i="2" s="1"/>
  <c r="Z29" i="2" s="1"/>
  <c r="Z30" i="2" s="1"/>
  <c r="Z31" i="2" s="1"/>
  <c r="Z32" i="2" s="1"/>
  <c r="Z33" i="2" s="1"/>
  <c r="Z34" i="2" s="1"/>
  <c r="Z35" i="2" s="1"/>
  <c r="Z36" i="2" s="1"/>
  <c r="Z37" i="2" s="1"/>
  <c r="Z38" i="2" s="1"/>
  <c r="Z39" i="2" s="1"/>
  <c r="Z40" i="2" s="1"/>
  <c r="Z41" i="2" s="1"/>
  <c r="Z42" i="2" s="1"/>
  <c r="Z43" i="2" s="1"/>
  <c r="Z44" i="2" s="1"/>
  <c r="R71" i="2"/>
  <c r="AA7" i="2"/>
  <c r="Y7" i="2"/>
  <c r="AA3" i="2"/>
  <c r="Y3" i="2"/>
  <c r="V10" i="2"/>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V45" i="2" s="1"/>
  <c r="AA6" i="2"/>
  <c r="Y6" i="2"/>
  <c r="S4" i="2"/>
  <c r="S5" i="2" s="1"/>
  <c r="S6" i="2" s="1"/>
  <c r="S7" i="2" s="1"/>
  <c r="S8" i="2" s="1"/>
  <c r="S9" i="2" s="1"/>
  <c r="R72" i="2" l="1"/>
  <c r="Y72" i="2"/>
  <c r="S10" i="2"/>
  <c r="S11" i="2" l="1"/>
  <c r="AA9" i="2"/>
  <c r="S12" i="2" l="1"/>
  <c r="AA11" i="2"/>
  <c r="AA10" i="2"/>
  <c r="S13" i="2" l="1"/>
  <c r="AA12" i="2" s="1"/>
  <c r="S14" i="2" l="1"/>
  <c r="S15" i="2" l="1"/>
  <c r="AA13" i="2"/>
  <c r="S16" i="2" l="1"/>
  <c r="AA15" i="2" s="1"/>
  <c r="AA14" i="2"/>
  <c r="S17" i="2" l="1"/>
  <c r="AA16" i="2" s="1"/>
  <c r="S18" i="2" l="1"/>
  <c r="S19" i="2" l="1"/>
  <c r="AA17" i="2"/>
  <c r="S20" i="2" l="1"/>
  <c r="AA19" i="2" s="1"/>
  <c r="AA18" i="2"/>
  <c r="S21" i="2" l="1"/>
  <c r="AA20" i="2" s="1"/>
  <c r="S22" i="2" l="1"/>
  <c r="S23" i="2" l="1"/>
  <c r="AA21" i="2"/>
  <c r="S24" i="2" l="1"/>
  <c r="AA23" i="2" s="1"/>
  <c r="AA22" i="2"/>
  <c r="S25" i="2" l="1"/>
  <c r="AA24" i="2" s="1"/>
  <c r="S26" i="2" l="1"/>
  <c r="S27" i="2" l="1"/>
  <c r="AA25" i="2"/>
  <c r="S28" i="2" l="1"/>
  <c r="AA27" i="2" s="1"/>
  <c r="AA26" i="2"/>
  <c r="S29" i="2" l="1"/>
  <c r="AA28" i="2"/>
  <c r="S30" i="2" l="1"/>
  <c r="S31" i="2" l="1"/>
  <c r="AA29" i="2"/>
  <c r="S32" i="2" l="1"/>
  <c r="AA31" i="2" s="1"/>
  <c r="AA30" i="2"/>
  <c r="S33" i="2" l="1"/>
  <c r="AA32" i="2" s="1"/>
  <c r="S34" i="2" l="1"/>
  <c r="S35" i="2" l="1"/>
  <c r="AA33" i="2"/>
  <c r="S36" i="2" l="1"/>
  <c r="AA35" i="2"/>
  <c r="AA34" i="2"/>
  <c r="S37" i="2" l="1"/>
  <c r="AA36" i="2" s="1"/>
  <c r="S38" i="2" l="1"/>
  <c r="S39" i="2" l="1"/>
  <c r="AA37" i="2"/>
  <c r="S40" i="2" l="1"/>
  <c r="AA39" i="2" s="1"/>
  <c r="AA38" i="2"/>
  <c r="S41" i="2" l="1"/>
  <c r="AA40" i="2" s="1"/>
  <c r="S42" i="2" l="1"/>
  <c r="S43" i="2" l="1"/>
  <c r="AA41" i="2"/>
  <c r="S44" i="2" l="1"/>
  <c r="AA43" i="2" s="1"/>
  <c r="AA42" i="2"/>
  <c r="S45" i="2" l="1"/>
  <c r="AA44" i="2" s="1"/>
</calcChain>
</file>

<file path=xl/sharedStrings.xml><?xml version="1.0" encoding="utf-8"?>
<sst xmlns="http://schemas.openxmlformats.org/spreadsheetml/2006/main" count="239" uniqueCount="168">
  <si>
    <t>SALARY RATE CALCULATION FORM</t>
  </si>
  <si>
    <t>Consultant Name:</t>
  </si>
  <si>
    <t>Date:</t>
  </si>
  <si>
    <t>Proposed Indirect Cost Rate for this Contract</t>
  </si>
  <si>
    <t>(Set by DOT every January)</t>
  </si>
  <si>
    <t>Months to NTP
(6 months for Standalone Contracts)</t>
  </si>
  <si>
    <t>Integral</t>
  </si>
  <si>
    <t>Time to Award</t>
  </si>
  <si>
    <t>Months of Work</t>
  </si>
  <si>
    <t>End Rate</t>
  </si>
  <si>
    <t>Time to Complete</t>
  </si>
  <si>
    <t>CLASSIFICATION</t>
  </si>
  <si>
    <t xml:space="preserve">CURRENT AVERAGE CLASSIFICATION RATE </t>
  </si>
  <si>
    <t xml:space="preserve">AVERAGE CONTRACT CLASSIFICATION RATE </t>
  </si>
  <si>
    <t>Principal in Charge</t>
  </si>
  <si>
    <t>PIC</t>
  </si>
  <si>
    <t>Project Manager</t>
  </si>
  <si>
    <t>PM</t>
  </si>
  <si>
    <t>Senior Engineer</t>
  </si>
  <si>
    <t>SPE</t>
  </si>
  <si>
    <t>Project Engineer</t>
  </si>
  <si>
    <t>PE</t>
  </si>
  <si>
    <t>Assistant Engineer</t>
  </si>
  <si>
    <t>AE</t>
  </si>
  <si>
    <t>Environmental Coordinator</t>
  </si>
  <si>
    <t>EC</t>
  </si>
  <si>
    <t>Technician</t>
  </si>
  <si>
    <t>TE</t>
  </si>
  <si>
    <t>Administrative Staff</t>
  </si>
  <si>
    <t>AS</t>
  </si>
  <si>
    <t>Information entered by firm</t>
  </si>
  <si>
    <t>Variable</t>
  </si>
  <si>
    <t>Months</t>
  </si>
  <si>
    <t>Rate</t>
  </si>
  <si>
    <t>Cumulative Rate</t>
  </si>
  <si>
    <t>Change in Cumulative Rate</t>
  </si>
  <si>
    <t>Exponential Curve</t>
  </si>
  <si>
    <t>i</t>
  </si>
  <si>
    <t>Start</t>
  </si>
  <si>
    <t>End</t>
  </si>
  <si>
    <t>Average</t>
  </si>
  <si>
    <t>NTP Month</t>
  </si>
  <si>
    <t>End Month</t>
  </si>
  <si>
    <t>Difference</t>
  </si>
  <si>
    <t>a</t>
  </si>
  <si>
    <t>b</t>
  </si>
  <si>
    <t>Inflation Rate</t>
  </si>
  <si>
    <t>Time to NTP</t>
  </si>
  <si>
    <t>Time from NTP to End</t>
  </si>
  <si>
    <t>Duration</t>
  </si>
  <si>
    <t>NTP</t>
  </si>
  <si>
    <t>Exponential Area</t>
  </si>
  <si>
    <t>Average %</t>
  </si>
  <si>
    <t>NTP %</t>
  </si>
  <si>
    <t>End %</t>
  </si>
  <si>
    <t>Duration about NTP</t>
  </si>
  <si>
    <t>Months to Average Rate</t>
  </si>
  <si>
    <t>Formula Variable</t>
  </si>
  <si>
    <t>Duration
(Months)</t>
  </si>
  <si>
    <t>Rate
(%)</t>
  </si>
  <si>
    <t>Average Rate
(%)</t>
  </si>
  <si>
    <t>Total*</t>
  </si>
  <si>
    <t>*Graph valid up to a total of 66 months, table is continously valid</t>
  </si>
  <si>
    <t>Vertical Lines and Points</t>
  </si>
  <si>
    <t>Name</t>
  </si>
  <si>
    <t>**Bar charts start at 1 so some values are shifted right by 0.5 to graph correctly</t>
  </si>
  <si>
    <t>Contract Months</t>
  </si>
  <si>
    <t>Graphed Duration - 
0.5 days added to visually graph</t>
  </si>
  <si>
    <t>Exponential Curve between NTP and End</t>
  </si>
  <si>
    <t>Escalation</t>
  </si>
  <si>
    <t>Rate at NTP</t>
  </si>
  <si>
    <t>Today's Rate
(Always 100%)</t>
  </si>
  <si>
    <t>Contract Duration:</t>
  </si>
  <si>
    <t>Contract Rate:</t>
  </si>
  <si>
    <t>Escalation Rate Check</t>
  </si>
  <si>
    <t>Escalation Rate Check Validation</t>
  </si>
  <si>
    <t>Escalation Check</t>
  </si>
  <si>
    <t>Escalation Check Validation</t>
  </si>
  <si>
    <t>Salary Rate Calculation Instructions</t>
  </si>
  <si>
    <t>Salary Rate Table Tab:</t>
  </si>
  <si>
    <t>This form is filled out for both Standalone and On-Call contracts. This entire form is filled out by the Consultant, and reviewed and approved by the Contract Manager.</t>
  </si>
  <si>
    <r>
      <t xml:space="preserve">Column 1: Enter all firm staff that are anticipated to work on the project and will be billing to the project. </t>
    </r>
    <r>
      <rPr>
        <b/>
        <sz val="11"/>
        <color theme="1"/>
        <rFont val="Calibri"/>
        <family val="2"/>
        <scheme val="minor"/>
      </rPr>
      <t>DO NOT</t>
    </r>
    <r>
      <rPr>
        <sz val="11"/>
        <color theme="1"/>
        <rFont val="Calibri"/>
        <family val="2"/>
        <scheme val="minor"/>
      </rPr>
      <t xml:space="preserve"> include employees that are included as part of your indirect cost rate (overhead)</t>
    </r>
  </si>
  <si>
    <t>Column 2: Enter the position classification that the employee has in the firm's payroll system.</t>
  </si>
  <si>
    <r>
      <t>Column 3: Enter the NHDOT classification that is agreed to, through discussions, by the firm and NHDOT Contract Manager.</t>
    </r>
    <r>
      <rPr>
        <b/>
        <sz val="11"/>
        <color theme="1"/>
        <rFont val="Calibri"/>
        <family val="2"/>
        <scheme val="minor"/>
      </rPr>
      <t xml:space="preserve"> Leave BLANK, this column is not currently being used.</t>
    </r>
  </si>
  <si>
    <t>Column 4: Enter the employee's current certified payroll hourly rate as of the date on the Salary Rate Calculation Form. This should be their hourly pay rate with no additions (no overhead, profit, anticipated pay raises, rounding, etc.).</t>
  </si>
  <si>
    <t>This sheet shall be signed and dated by the person at the firm with the authority to submit this information.</t>
  </si>
  <si>
    <t xml:space="preserve">The Contract Manager shall review the information contained on this sheet and ensure that the staff listed are appropriate and likely to work on the project or be involved in any task order assigned. They should also verify that the average salaries listed are reasonable, calculated accurately, and transferred to the Salary Rate Calculator sheet correctly. </t>
  </si>
  <si>
    <t xml:space="preserve">For On-Call contracts this form is filled out prior to award. This form will be used for Pre-Award audit purposes to ensure payroll and billing accuracy. A new form should be filled out and used for each Task Order assignment requested during the contract using current classification and pay information. The Salary Rate Table will be used to assign staff and assign classification rates of pay for the task order assignment budget preparation. </t>
  </si>
  <si>
    <t>Salary Rate Calculator Tab:</t>
  </si>
  <si>
    <r>
      <t xml:space="preserve">The Annual Escalation Rate is the Department approved escalation rate that is calculated annually every January. The current rate can be found on the Consultant Selection webpage. This number </t>
    </r>
    <r>
      <rPr>
        <b/>
        <sz val="11"/>
        <color theme="1"/>
        <rFont val="Calibri"/>
        <family val="2"/>
        <scheme val="minor"/>
      </rPr>
      <t>SHALL NOT</t>
    </r>
    <r>
      <rPr>
        <sz val="11"/>
        <color theme="1"/>
        <rFont val="Calibri"/>
        <family val="2"/>
        <scheme val="minor"/>
      </rPr>
      <t xml:space="preserve"> be adjusted.</t>
    </r>
  </si>
  <si>
    <t xml:space="preserve">The Contract Manager shall enter the total number of months for the Contract Duration. This number shall not be changed without the approval of the Contract Manager. </t>
  </si>
  <si>
    <t>The AVERAGE CONTRACT CLASSIFICATION RATES calculated shall be used for entry into the Fee Matrix when developing the contract budget.</t>
  </si>
  <si>
    <t>For both Standalone and On-Call Contracts the consultant firm shall invoice actual direct labor hourly salary rates.</t>
  </si>
  <si>
    <t>XXX.XX%</t>
  </si>
  <si>
    <t xml:space="preserve">                 Salary Rate Table</t>
  </si>
  <si>
    <t xml:space="preserve">Column 1 </t>
  </si>
  <si>
    <t>Column 2</t>
  </si>
  <si>
    <t>Column 3</t>
  </si>
  <si>
    <t>Column 4</t>
  </si>
  <si>
    <t>Column 5</t>
  </si>
  <si>
    <t>Employee Name</t>
  </si>
  <si>
    <t>Company Classification</t>
  </si>
  <si>
    <r>
      <t>NHDOT Standardized Titles (</t>
    </r>
    <r>
      <rPr>
        <b/>
        <sz val="11"/>
        <rFont val="Arial"/>
        <family val="2"/>
      </rPr>
      <t>Leave Blank, not currently used</t>
    </r>
    <r>
      <rPr>
        <sz val="11"/>
        <rFont val="Arial"/>
        <family val="2"/>
      </rPr>
      <t>)</t>
    </r>
  </si>
  <si>
    <t>Company   Hourly Rate ($)</t>
  </si>
  <si>
    <t>Average NHDOT Allowed Rate ($)</t>
  </si>
  <si>
    <t xml:space="preserve">I hereby certify, under the pains and penalties of perjury, that all the employees, classifications,  and salaries listed </t>
  </si>
  <si>
    <t>are accurate and actual and are in accordance with the contract terms.</t>
  </si>
  <si>
    <t>Consultant Signature</t>
  </si>
  <si>
    <t>Date</t>
  </si>
  <si>
    <t>Proposed Indirect Cost Rate</t>
  </si>
  <si>
    <t>Project Name and Number:</t>
  </si>
  <si>
    <t>Column 5: Calculates the average salaries for the same employee classifications.</t>
  </si>
  <si>
    <t>It should be noted that depending on the number of staff members entered per classification the number of rows may have to be adjusted (either rows added or deleted) and the formula that calculates the average salary  per classification (Column 5) may have to be adjusted to work correctly.</t>
  </si>
  <si>
    <t>CONTRACT RATE</t>
  </si>
  <si>
    <t xml:space="preserve">The form will auto-calculate and determine the Contract Rate used to calculate the contract classification salary rates (AVERAGE CONTRACT CLASSIFICATION RATES) used in the Fee Matrix. </t>
  </si>
  <si>
    <t>Because of the delay from the time this form is filled out and when the contract is awarded there will be an automatic escalation of base salaries. The form will calculate an escalated rate to account for the time it takes to submit this information until Notice to Proceed (NTP). This TIME TO AWARD rate adjustment is to account for changes in consultant employee pay rates in this timeframe. For all standalone contracts this TIME TO AWARD is assumed to be 6 months.</t>
  </si>
  <si>
    <t>Cumulative</t>
  </si>
  <si>
    <t>Time from Start to NTP</t>
  </si>
  <si>
    <t>x</t>
  </si>
  <si>
    <t>y</t>
  </si>
  <si>
    <t>A</t>
  </si>
  <si>
    <t>B</t>
  </si>
  <si>
    <t>C</t>
  </si>
  <si>
    <t>A+C</t>
  </si>
  <si>
    <t>D</t>
  </si>
  <si>
    <t>C=D</t>
  </si>
  <si>
    <t>(A+C)/m=B/n</t>
  </si>
  <si>
    <t>m</t>
  </si>
  <si>
    <t>n</t>
  </si>
  <si>
    <t>For graphing</t>
  </si>
  <si>
    <t>Rev. 12-29-2023</t>
  </si>
  <si>
    <t>Page 1 of 3</t>
  </si>
  <si>
    <t>If you have an existing contract with Salary Caps use the "SALARY RATE TABLE-WITH CAP" tab. If your contract is being negotiated after the salary cap was eliminated use the "SALARY CAP TABLE - NO CAP" tab</t>
  </si>
  <si>
    <t>The upper portion of the page should include the firm  "Name", "Project Name and Number", and the Current "Date". There is also a location for the "Proposed Indirect Cost Rate for this assignment". Standalone - This should be the proposed rate to be used by the consultant firm prior to the rate being approved by the Internal Audit Office. The Internal Audit Office will verify the rate as part of the Technical Review. For On-Call task order assignemnts this rate should be the firms's current certified audited indirect cost rate at the time of task order fee negotiations.</t>
  </si>
  <si>
    <t>Page 2 of 3</t>
  </si>
  <si>
    <r>
      <rPr>
        <b/>
        <sz val="11"/>
        <color rgb="FFFF0000"/>
        <rFont val="Calibri"/>
        <family val="2"/>
        <scheme val="minor"/>
      </rPr>
      <t xml:space="preserve">This form is used on Standalone contracts ONLY.      </t>
    </r>
    <r>
      <rPr>
        <sz val="11"/>
        <rFont val="Calibri"/>
        <family val="2"/>
        <scheme val="minor"/>
      </rPr>
      <t xml:space="preserve">                                                                                                      Most of this form is "auto-calculating." Information that needs to be entered is contained within the BLUE boxes.  No other cells should be altered.</t>
    </r>
  </si>
  <si>
    <t xml:space="preserve">The Classifications and the Average NHDOT Allowed Rates shall be identical to  the information from the SALARY RATE TABLES tab (Classifications - Column 2, and Average NHDOT Allowed Rate - Column 5). </t>
  </si>
  <si>
    <t>Page 3 of 3</t>
  </si>
  <si>
    <t>Specific Rates of Pay Tab:</t>
  </si>
  <si>
    <r>
      <rPr>
        <b/>
        <sz val="11"/>
        <color rgb="FFFF0000"/>
        <rFont val="Calibri"/>
        <family val="2"/>
        <scheme val="minor"/>
      </rPr>
      <t xml:space="preserve">This form is used on contracts that call for Specific Rates of Pay ONLY.      </t>
    </r>
    <r>
      <rPr>
        <sz val="11"/>
        <rFont val="Calibri"/>
        <family val="2"/>
        <scheme val="minor"/>
      </rPr>
      <t xml:space="preserve">                                                                                                      Most of this form is "auto-calculating." Information that needs to be entered is contained within the BLUE boxes.  No other cells should be altered.</t>
    </r>
  </si>
  <si>
    <t xml:space="preserve">The Contract Manager shall enter the agreed to Profit Rate for the contract. This number shall not be changed without the approval of the Contract Manager. </t>
  </si>
  <si>
    <t xml:space="preserve">The form will auto-calculate and determine the Loaded Hourly Rates used to calculate the contract classification salary rates (LOADED CONTRACT CLASSIFICATION RATES) that will be shown in the pay tables in Article II of the agreemnt. These are the rates that will be paid per hour for all task assignments. </t>
  </si>
  <si>
    <t>If the contract allows for Overtime pay (paid at time and a half) the form will auto-calculate and determine the Overtime Loaded Hourly Rates used to calculate the overtime contract classification salary rates (LOADED CONTRACT CLASSIFICATION OVERTIME RATES) that will be shown in the pay tables in Article II of the agreemnt. These are the rates that will be paid per hour for all task assignments when overtime (time and a half) is allowed and used.</t>
  </si>
  <si>
    <t>For Specific Rates of Pay Contracts the consultant firm shall invoice using these loaded contract classification rates.</t>
  </si>
  <si>
    <t>Annual Salary Escalation Rate 2024</t>
  </si>
  <si>
    <t>SALARY RATE CALCULATION FORM                                                                                                  FOR SPECIFIC RATES OF PAY CONTRACTS</t>
  </si>
  <si>
    <t>Rate of Profit for this Contract</t>
  </si>
  <si>
    <t>CLASSIFICATION (Straight Time)</t>
  </si>
  <si>
    <t xml:space="preserve">AVERAGE NHDOT ALLOWED RATE </t>
  </si>
  <si>
    <t xml:space="preserve">AVERAGE CONTRACT  RATE </t>
  </si>
  <si>
    <t>OVERHEAD</t>
  </si>
  <si>
    <t>PROFIT</t>
  </si>
  <si>
    <t xml:space="preserve">LOADED CONTRACT CLASSIFICATION RATE </t>
  </si>
  <si>
    <t>Inspector I</t>
  </si>
  <si>
    <t>Inspector II</t>
  </si>
  <si>
    <t>Inspector III</t>
  </si>
  <si>
    <t>Inspector IV</t>
  </si>
  <si>
    <t>Engineering Inspector</t>
  </si>
  <si>
    <t>CLASSIFICATION (Overtime)</t>
  </si>
  <si>
    <t xml:space="preserve">AVERAGE NHDOT ALLOWED OT RATE </t>
  </si>
  <si>
    <t>OVERHEAD*</t>
  </si>
  <si>
    <t>PROFIT*</t>
  </si>
  <si>
    <t xml:space="preserve">LOADED CONTRACT CLASSIFICATION  OVERTIME RATE </t>
  </si>
  <si>
    <t>*Loaded Overtime Rate: Calculate Overhead and Profit as a percentage of Straight Time Average Contract  Rate</t>
  </si>
  <si>
    <t>Proposed Indirect Cost Rate for this Assignment</t>
  </si>
  <si>
    <t>Project/Contract: #</t>
  </si>
  <si>
    <t>Column 6</t>
  </si>
  <si>
    <t>NHDOT Allowed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</si>
</sst>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000%"/>
    <numFmt numFmtId="165" formatCode="_(&quot;$&quot;* #,##0_);_(&quot;$&quot;* \(#,##0\);_(&quot;$&quot;* &quot;-&quot;??_);_(@_)"/>
    <numFmt numFmtId="166" formatCode="0.0"/>
    <numFmt numFmtId="167" formatCode="0.00000000000000%"/>
    <numFmt numFmtId="168" formatCode="0.0%"/>
    <numFmt numFmtId="169" formatCode="[$-409]mmmm\ d\,\ yyyy;@"/>
  </numFmts>
  <fonts count="12" x14ac:knownFonts="1">
    <font>
      <sz val="11"/>
      <color theme="1"/>
      <name val="Calibri"/>
      <family val="2"/>
      <scheme val="minor"/>
    </font>
    <font>
      <sz val="11"/>
      <color theme="1"/>
      <name val="Calibri"/>
      <family val="2"/>
      <scheme val="minor"/>
    </font>
    <font>
      <b/>
      <sz val="14"/>
      <color theme="1"/>
      <name val="Calibri"/>
      <family val="2"/>
      <scheme val="minor"/>
    </font>
    <font>
      <sz val="10"/>
      <name val="Arial"/>
      <family val="2"/>
    </font>
    <font>
      <b/>
      <sz val="11"/>
      <color theme="1"/>
      <name val="Calibri"/>
      <family val="2"/>
      <scheme val="minor"/>
    </font>
    <font>
      <sz val="11"/>
      <name val="Calibri"/>
      <family val="2"/>
      <scheme val="minor"/>
    </font>
    <font>
      <b/>
      <strike/>
      <sz val="11"/>
      <color rgb="FFFF0000"/>
      <name val="Calibri"/>
      <family val="2"/>
      <scheme val="minor"/>
    </font>
    <font>
      <strike/>
      <sz val="11"/>
      <color rgb="FFFF0000"/>
      <name val="Calibri"/>
      <family val="2"/>
      <scheme val="minor"/>
    </font>
    <font>
      <b/>
      <sz val="11"/>
      <name val="Arial"/>
      <family val="2"/>
    </font>
    <font>
      <sz val="11"/>
      <name val="Arial"/>
      <family val="2"/>
    </font>
    <font>
      <sz val="9"/>
      <name val="Arial"/>
      <family val="2"/>
    </font>
    <font>
      <b/>
      <sz val="11"/>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top/>
      <bottom style="double">
        <color indexed="64"/>
      </bottom>
      <diagonal/>
    </border>
    <border>
      <left style="double">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0" fillId="0" borderId="4" xfId="0" applyBorder="1" applyAlignment="1">
      <alignment vertical="center"/>
    </xf>
    <xf numFmtId="0" fontId="0" fillId="0" borderId="5" xfId="0" applyBorder="1" applyAlignment="1">
      <alignment vertical="center"/>
    </xf>
    <xf numFmtId="0" fontId="0" fillId="0" borderId="5" xfId="0"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44" fontId="0" fillId="0" borderId="0" xfId="1" applyFont="1" applyFill="1" applyBorder="1" applyAlignment="1">
      <alignment horizontal="center"/>
    </xf>
    <xf numFmtId="10" fontId="0" fillId="0" borderId="0" xfId="0" applyNumberFormat="1" applyAlignment="1">
      <alignment horizontal="center"/>
    </xf>
    <xf numFmtId="0" fontId="0" fillId="0" borderId="7" xfId="0" applyBorder="1"/>
    <xf numFmtId="10" fontId="0" fillId="0" borderId="5" xfId="0" applyNumberFormat="1" applyBorder="1" applyAlignment="1">
      <alignment horizontal="center"/>
    </xf>
    <xf numFmtId="44" fontId="0" fillId="0" borderId="6" xfId="1" applyFont="1" applyFill="1" applyBorder="1" applyAlignment="1">
      <alignment horizontal="center"/>
    </xf>
    <xf numFmtId="0" fontId="0" fillId="0" borderId="11" xfId="0" applyBorder="1"/>
    <xf numFmtId="0" fontId="0" fillId="0" borderId="12" xfId="0" applyBorder="1"/>
    <xf numFmtId="44" fontId="0" fillId="0" borderId="12" xfId="1" applyFont="1" applyFill="1" applyBorder="1" applyAlignment="1">
      <alignment horizontal="center"/>
    </xf>
    <xf numFmtId="10" fontId="0" fillId="0" borderId="12" xfId="0" applyNumberFormat="1" applyBorder="1" applyAlignment="1">
      <alignment horizontal="center"/>
    </xf>
    <xf numFmtId="44" fontId="0" fillId="0" borderId="13" xfId="1" applyFont="1" applyFill="1" applyBorder="1" applyAlignment="1">
      <alignment horizontal="center"/>
    </xf>
    <xf numFmtId="0" fontId="0" fillId="0" borderId="4" xfId="0" applyBorder="1"/>
    <xf numFmtId="10" fontId="0" fillId="0" borderId="5" xfId="2" applyNumberFormat="1" applyFont="1" applyFill="1" applyBorder="1" applyAlignment="1" applyProtection="1">
      <alignment horizontal="center"/>
    </xf>
    <xf numFmtId="0" fontId="0" fillId="0" borderId="6" xfId="0" applyBorder="1"/>
    <xf numFmtId="0" fontId="0" fillId="0" borderId="9" xfId="0" applyBorder="1"/>
    <xf numFmtId="0" fontId="0" fillId="0" borderId="14" xfId="0" applyBorder="1"/>
    <xf numFmtId="0" fontId="0" fillId="0" borderId="15" xfId="0" applyBorder="1" applyAlignment="1">
      <alignment horizontal="center" vertical="center" wrapText="1"/>
    </xf>
    <xf numFmtId="0" fontId="0" fillId="0" borderId="16" xfId="0" applyBorder="1" applyAlignment="1">
      <alignment horizontal="center" vertical="center" wrapText="1"/>
    </xf>
    <xf numFmtId="9" fontId="0" fillId="0" borderId="14" xfId="0" applyNumberFormat="1" applyBorder="1"/>
    <xf numFmtId="10" fontId="0" fillId="0" borderId="14" xfId="0" applyNumberFormat="1" applyBorder="1"/>
    <xf numFmtId="9" fontId="0" fillId="0" borderId="0" xfId="2" applyFont="1"/>
    <xf numFmtId="10" fontId="0" fillId="3" borderId="22" xfId="2" applyNumberFormat="1" applyFont="1" applyFill="1" applyBorder="1" applyAlignment="1">
      <alignment horizontal="center" vertical="center" wrapText="1"/>
    </xf>
    <xf numFmtId="0" fontId="0" fillId="0" borderId="22" xfId="2" applyNumberFormat="1" applyFont="1" applyFill="1" applyBorder="1" applyAlignment="1">
      <alignment horizontal="center"/>
    </xf>
    <xf numFmtId="164" fontId="0" fillId="0" borderId="23" xfId="0" applyNumberForma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xf>
    <xf numFmtId="10" fontId="0" fillId="0" borderId="9" xfId="0" applyNumberFormat="1" applyBorder="1" applyAlignment="1">
      <alignment horizontal="center" vertical="center"/>
    </xf>
    <xf numFmtId="0" fontId="0" fillId="0" borderId="13" xfId="0" applyBorder="1"/>
    <xf numFmtId="0" fontId="0" fillId="0" borderId="28" xfId="0" applyBorder="1"/>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vertical="center" wrapText="1"/>
    </xf>
    <xf numFmtId="2" fontId="0" fillId="0" borderId="0" xfId="0" applyNumberFormat="1"/>
    <xf numFmtId="10" fontId="0" fillId="0" borderId="0" xfId="0" applyNumberFormat="1"/>
    <xf numFmtId="10" fontId="0" fillId="0" borderId="0" xfId="2" applyNumberFormat="1" applyFont="1"/>
    <xf numFmtId="0" fontId="0" fillId="0" borderId="14" xfId="0" applyBorder="1" applyAlignment="1">
      <alignment wrapText="1"/>
    </xf>
    <xf numFmtId="0" fontId="0" fillId="0" borderId="0" xfId="0" applyAlignment="1">
      <alignment wrapText="1"/>
    </xf>
    <xf numFmtId="9" fontId="0" fillId="0" borderId="0" xfId="0" applyNumberFormat="1"/>
    <xf numFmtId="0" fontId="0" fillId="0" borderId="0" xfId="2" applyNumberFormat="1" applyFont="1"/>
    <xf numFmtId="9" fontId="0" fillId="0" borderId="14" xfId="2" applyFont="1" applyBorder="1"/>
    <xf numFmtId="9" fontId="0" fillId="0" borderId="0" xfId="2" applyFont="1" applyBorder="1"/>
    <xf numFmtId="165" fontId="0" fillId="0" borderId="0" xfId="1" applyNumberFormat="1" applyFont="1" applyBorder="1"/>
    <xf numFmtId="0" fontId="0" fillId="0" borderId="24" xfId="0" applyBorder="1"/>
    <xf numFmtId="10" fontId="0" fillId="0" borderId="14" xfId="2" applyNumberFormat="1" applyFont="1" applyBorder="1"/>
    <xf numFmtId="166" fontId="0" fillId="0" borderId="0" xfId="2" applyNumberFormat="1" applyFont="1"/>
    <xf numFmtId="166" fontId="0" fillId="0" borderId="0" xfId="0" applyNumberFormat="1"/>
    <xf numFmtId="167" fontId="0" fillId="0" borderId="0" xfId="0" applyNumberFormat="1"/>
    <xf numFmtId="10" fontId="0" fillId="0" borderId="0" xfId="2" applyNumberFormat="1" applyFont="1" applyBorder="1"/>
    <xf numFmtId="168" fontId="0" fillId="0" borderId="0" xfId="0" applyNumberFormat="1"/>
    <xf numFmtId="0" fontId="0" fillId="0" borderId="32" xfId="0" applyBorder="1"/>
    <xf numFmtId="168" fontId="0" fillId="0" borderId="14" xfId="0" applyNumberFormat="1" applyBorder="1"/>
    <xf numFmtId="0" fontId="0" fillId="0" borderId="26" xfId="0" applyBorder="1"/>
    <xf numFmtId="0" fontId="0" fillId="0" borderId="19" xfId="0" applyBorder="1"/>
    <xf numFmtId="0" fontId="0" fillId="0" borderId="33" xfId="0" applyBorder="1"/>
    <xf numFmtId="0" fontId="0" fillId="0" borderId="21" xfId="0" applyBorder="1"/>
    <xf numFmtId="10" fontId="0" fillId="0" borderId="21" xfId="2" applyNumberFormat="1" applyFont="1" applyBorder="1"/>
    <xf numFmtId="9" fontId="0" fillId="0" borderId="21" xfId="2" applyFont="1" applyBorder="1"/>
    <xf numFmtId="9" fontId="0" fillId="0" borderId="21" xfId="0" applyNumberFormat="1" applyBorder="1"/>
    <xf numFmtId="0" fontId="0" fillId="0" borderId="23" xfId="0" applyBorder="1"/>
    <xf numFmtId="0" fontId="0" fillId="0" borderId="34" xfId="0" applyBorder="1"/>
    <xf numFmtId="0" fontId="0" fillId="0" borderId="35" xfId="0" applyBorder="1"/>
    <xf numFmtId="0" fontId="0" fillId="0" borderId="36" xfId="0" applyBorder="1"/>
    <xf numFmtId="0" fontId="0" fillId="0" borderId="27" xfId="0" applyBorder="1"/>
    <xf numFmtId="10" fontId="4" fillId="0" borderId="14" xfId="2" applyNumberFormat="1" applyFont="1" applyBorder="1"/>
    <xf numFmtId="0" fontId="4" fillId="0" borderId="34" xfId="0" applyFont="1" applyBorder="1" applyAlignment="1">
      <alignment horizontal="center"/>
    </xf>
    <xf numFmtId="0" fontId="4" fillId="0" borderId="35" xfId="0" applyFont="1" applyBorder="1" applyAlignment="1">
      <alignment horizontal="center" wrapText="1"/>
    </xf>
    <xf numFmtId="0" fontId="4" fillId="0" borderId="36" xfId="0" applyFont="1" applyBorder="1" applyAlignment="1">
      <alignment horizontal="center" wrapText="1"/>
    </xf>
    <xf numFmtId="10" fontId="0" fillId="5" borderId="35" xfId="0" applyNumberFormat="1" applyFill="1" applyBorder="1"/>
    <xf numFmtId="0" fontId="0" fillId="5" borderId="14" xfId="0" applyFill="1" applyBorder="1"/>
    <xf numFmtId="0" fontId="0" fillId="0" borderId="14" xfId="2" applyNumberFormat="1" applyFont="1" applyBorder="1"/>
    <xf numFmtId="166" fontId="0" fillId="0" borderId="14" xfId="2" applyNumberFormat="1" applyFont="1" applyBorder="1"/>
    <xf numFmtId="0" fontId="0" fillId="0" borderId="39" xfId="0" applyBorder="1"/>
    <xf numFmtId="0" fontId="0" fillId="0" borderId="0" xfId="0" applyAlignment="1">
      <alignment horizontal="right"/>
    </xf>
    <xf numFmtId="10" fontId="0" fillId="0" borderId="5" xfId="1" applyNumberFormat="1" applyFont="1" applyFill="1" applyBorder="1" applyAlignment="1">
      <alignment horizontal="center" vertical="center"/>
    </xf>
    <xf numFmtId="10" fontId="0" fillId="0" borderId="14" xfId="0" applyNumberFormat="1" applyBorder="1" applyAlignment="1">
      <alignment horizontal="center" vertical="center"/>
    </xf>
    <xf numFmtId="10" fontId="0" fillId="0" borderId="19" xfId="0" applyNumberFormat="1" applyBorder="1" applyAlignment="1">
      <alignment horizontal="center" vertical="center"/>
    </xf>
    <xf numFmtId="10" fontId="0" fillId="0" borderId="28" xfId="0" applyNumberFormat="1" applyBorder="1" applyAlignment="1">
      <alignment horizontal="center"/>
    </xf>
    <xf numFmtId="44" fontId="0" fillId="0" borderId="6" xfId="1" applyFont="1" applyFill="1" applyBorder="1" applyAlignment="1">
      <alignment horizontal="center" vertical="center"/>
    </xf>
    <xf numFmtId="0" fontId="4" fillId="0" borderId="0" xfId="0" applyFont="1" applyAlignment="1">
      <alignment horizontal="right"/>
    </xf>
    <xf numFmtId="10" fontId="4" fillId="0" borderId="0" xfId="0" applyNumberFormat="1" applyFont="1" applyAlignment="1">
      <alignment horizontal="center" wrapText="1"/>
    </xf>
    <xf numFmtId="10" fontId="4" fillId="0" borderId="9" xfId="0" applyNumberFormat="1" applyFont="1" applyBorder="1" applyAlignment="1">
      <alignment horizontal="left"/>
    </xf>
    <xf numFmtId="1" fontId="4" fillId="0" borderId="0" xfId="0" applyNumberFormat="1" applyFont="1" applyAlignment="1">
      <alignment horizontal="left"/>
    </xf>
    <xf numFmtId="0" fontId="0" fillId="0" borderId="0" xfId="0" applyAlignment="1">
      <alignment horizontal="center" vertical="center" wrapText="1"/>
    </xf>
    <xf numFmtId="9" fontId="0" fillId="0" borderId="0" xfId="2" applyFont="1" applyAlignment="1">
      <alignment horizontal="right"/>
    </xf>
    <xf numFmtId="10" fontId="0" fillId="0" borderId="0" xfId="0" applyNumberFormat="1" applyAlignment="1">
      <alignment horizontal="right" vertical="center"/>
    </xf>
    <xf numFmtId="164" fontId="0" fillId="0" borderId="0" xfId="0" applyNumberFormat="1" applyAlignment="1">
      <alignment horizontal="right" vertical="center"/>
    </xf>
    <xf numFmtId="10" fontId="0" fillId="0" borderId="0" xfId="2" applyNumberFormat="1" applyFont="1" applyBorder="1" applyAlignment="1">
      <alignment horizontal="right"/>
    </xf>
    <xf numFmtId="0" fontId="4" fillId="0" borderId="0" xfId="0" applyFont="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6" fillId="0" borderId="0" xfId="0" applyFont="1"/>
    <xf numFmtId="0" fontId="7" fillId="0" borderId="0" xfId="0" applyFont="1"/>
    <xf numFmtId="0" fontId="3" fillId="0" borderId="8" xfId="0" applyFont="1" applyBorder="1" applyAlignment="1">
      <alignment horizontal="left"/>
    </xf>
    <xf numFmtId="0" fontId="0" fillId="0" borderId="8" xfId="0" applyBorder="1" applyAlignment="1">
      <alignment horizontal="center"/>
    </xf>
    <xf numFmtId="0" fontId="3" fillId="0" borderId="10" xfId="0" applyFont="1" applyBorder="1" applyAlignment="1">
      <alignment horizontal="left"/>
    </xf>
    <xf numFmtId="14" fontId="3" fillId="0" borderId="10" xfId="0" applyNumberFormat="1" applyFont="1" applyBorder="1" applyAlignment="1">
      <alignment horizontal="lef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10" fillId="0" borderId="46" xfId="0" applyFont="1" applyBorder="1"/>
    <xf numFmtId="0" fontId="0" fillId="0" borderId="47" xfId="0" applyBorder="1"/>
    <xf numFmtId="44" fontId="0" fillId="0" borderId="28" xfId="1" applyFont="1" applyBorder="1"/>
    <xf numFmtId="0" fontId="10" fillId="0" borderId="18" xfId="0" applyFont="1" applyBorder="1"/>
    <xf numFmtId="0" fontId="0" fillId="0" borderId="48" xfId="0" applyBorder="1"/>
    <xf numFmtId="0" fontId="0" fillId="0" borderId="8" xfId="0" applyBorder="1"/>
    <xf numFmtId="44" fontId="0" fillId="0" borderId="24" xfId="1" applyFont="1" applyBorder="1"/>
    <xf numFmtId="0" fontId="10" fillId="0" borderId="37" xfId="0" applyFont="1" applyBorder="1"/>
    <xf numFmtId="44" fontId="0" fillId="0" borderId="27" xfId="1" applyFont="1" applyBorder="1"/>
    <xf numFmtId="0" fontId="10" fillId="0" borderId="20" xfId="0" applyFont="1" applyBorder="1"/>
    <xf numFmtId="0" fontId="0" fillId="0" borderId="49" xfId="0" applyBorder="1"/>
    <xf numFmtId="44" fontId="0" fillId="0" borderId="22" xfId="1" applyFont="1" applyBorder="1"/>
    <xf numFmtId="0" fontId="0" fillId="0" borderId="22" xfId="0" applyBorder="1"/>
    <xf numFmtId="0" fontId="0" fillId="0" borderId="51" xfId="0" applyBorder="1"/>
    <xf numFmtId="44" fontId="0" fillId="0" borderId="32" xfId="1" applyFont="1" applyBorder="1"/>
    <xf numFmtId="0" fontId="10" fillId="0" borderId="0" xfId="0" applyFont="1"/>
    <xf numFmtId="169" fontId="3" fillId="0" borderId="8" xfId="0" applyNumberFormat="1" applyFont="1" applyBorder="1" applyAlignment="1">
      <alignment horizontal="left"/>
    </xf>
    <xf numFmtId="169" fontId="0" fillId="0" borderId="0" xfId="0" applyNumberFormat="1" applyAlignment="1">
      <alignment horizontal="left"/>
    </xf>
    <xf numFmtId="0" fontId="3" fillId="0" borderId="0" xfId="0" applyFont="1" applyAlignment="1">
      <alignment horizontal="right"/>
    </xf>
    <xf numFmtId="0" fontId="0" fillId="2" borderId="14" xfId="2" applyNumberFormat="1" applyFont="1" applyFill="1" applyBorder="1" applyAlignment="1" applyProtection="1">
      <alignment horizontal="center"/>
      <protection locked="0"/>
    </xf>
    <xf numFmtId="44" fontId="0" fillId="2" borderId="30" xfId="1" applyFont="1" applyFill="1" applyBorder="1" applyAlignment="1" applyProtection="1">
      <alignment horizontal="center"/>
      <protection locked="0"/>
    </xf>
    <xf numFmtId="44" fontId="0" fillId="2" borderId="17" xfId="1" applyFont="1" applyFill="1" applyBorder="1" applyAlignment="1" applyProtection="1">
      <alignment horizontal="center"/>
      <protection locked="0"/>
    </xf>
    <xf numFmtId="44" fontId="0" fillId="2" borderId="31" xfId="1" applyFont="1" applyFill="1" applyBorder="1" applyAlignment="1" applyProtection="1">
      <alignment horizontal="center"/>
      <protection locked="0"/>
    </xf>
    <xf numFmtId="0" fontId="0" fillId="0" borderId="27" xfId="0" applyBorder="1" applyAlignment="1" applyProtection="1">
      <alignment horizontal="center"/>
      <protection locked="0"/>
    </xf>
    <xf numFmtId="10" fontId="0" fillId="0" borderId="27" xfId="0" applyNumberFormat="1" applyBorder="1" applyAlignment="1" applyProtection="1">
      <alignment horizontal="center"/>
      <protection locked="0"/>
    </xf>
    <xf numFmtId="44" fontId="0" fillId="0" borderId="9" xfId="1" applyFont="1" applyFill="1" applyBorder="1" applyAlignment="1" applyProtection="1">
      <alignment horizontal="center" vertical="center"/>
      <protection locked="0"/>
    </xf>
    <xf numFmtId="0" fontId="0" fillId="0" borderId="22" xfId="0" applyBorder="1" applyAlignment="1" applyProtection="1">
      <alignment horizontal="center"/>
      <protection locked="0"/>
    </xf>
    <xf numFmtId="10" fontId="0" fillId="0" borderId="22" xfId="0" applyNumberFormat="1" applyBorder="1" applyAlignment="1" applyProtection="1">
      <alignment horizontal="center"/>
      <protection locked="0"/>
    </xf>
    <xf numFmtId="44" fontId="0" fillId="0" borderId="13" xfId="1" applyFont="1" applyFill="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18" xfId="0" applyBorder="1"/>
    <xf numFmtId="10" fontId="0" fillId="0" borderId="24" xfId="2" applyNumberFormat="1" applyFont="1" applyBorder="1"/>
    <xf numFmtId="9" fontId="0" fillId="0" borderId="24" xfId="2" applyFont="1" applyBorder="1"/>
    <xf numFmtId="0" fontId="0" fillId="0" borderId="25" xfId="0" applyBorder="1"/>
    <xf numFmtId="10" fontId="0" fillId="0" borderId="35" xfId="0" applyNumberFormat="1" applyBorder="1"/>
    <xf numFmtId="2" fontId="0" fillId="0" borderId="19" xfId="0" applyNumberFormat="1" applyBorder="1"/>
    <xf numFmtId="0" fontId="0" fillId="4" borderId="14" xfId="0" applyFill="1" applyBorder="1" applyProtection="1">
      <protection locked="0"/>
    </xf>
    <xf numFmtId="0" fontId="6" fillId="0" borderId="0" xfId="0" applyFont="1" applyAlignment="1">
      <alignment vertical="top" wrapText="1"/>
    </xf>
    <xf numFmtId="0" fontId="7" fillId="0" borderId="0" xfId="0" applyFont="1" applyAlignment="1">
      <alignment vertical="top" wrapText="1"/>
    </xf>
    <xf numFmtId="9" fontId="0" fillId="2" borderId="15" xfId="2" applyFont="1" applyFill="1" applyBorder="1" applyAlignment="1">
      <alignment horizontal="center" vertical="center"/>
    </xf>
    <xf numFmtId="9" fontId="0" fillId="0" borderId="5" xfId="1" applyNumberFormat="1" applyFont="1" applyFill="1" applyBorder="1" applyAlignment="1">
      <alignment horizontal="center" vertical="center"/>
    </xf>
    <xf numFmtId="0" fontId="0" fillId="0" borderId="4" xfId="0" applyBorder="1" applyAlignment="1">
      <alignment horizontal="center" vertical="center" wrapText="1"/>
    </xf>
    <xf numFmtId="0" fontId="0" fillId="0" borderId="35" xfId="0" applyBorder="1" applyAlignment="1">
      <alignment horizontal="center" vertical="center"/>
    </xf>
    <xf numFmtId="0" fontId="0" fillId="2" borderId="4" xfId="0" applyFill="1" applyBorder="1" applyProtection="1">
      <protection locked="0"/>
    </xf>
    <xf numFmtId="44" fontId="0" fillId="2" borderId="28" xfId="1" applyFont="1" applyFill="1" applyBorder="1" applyAlignment="1" applyProtection="1">
      <protection locked="0"/>
    </xf>
    <xf numFmtId="44" fontId="0" fillId="0" borderId="30" xfId="1" applyFont="1" applyFill="1" applyBorder="1" applyAlignment="1" applyProtection="1">
      <alignment horizontal="center"/>
    </xf>
    <xf numFmtId="44" fontId="0" fillId="0" borderId="28" xfId="1" applyFont="1" applyFill="1" applyBorder="1" applyAlignment="1" applyProtection="1">
      <alignment horizontal="center"/>
    </xf>
    <xf numFmtId="44" fontId="0" fillId="0" borderId="30" xfId="1" applyFont="1" applyBorder="1" applyAlignment="1" applyProtection="1">
      <alignment horizontal="center" vertical="center"/>
    </xf>
    <xf numFmtId="44" fontId="0" fillId="0" borderId="29" xfId="1" applyFont="1" applyFill="1" applyBorder="1" applyAlignment="1" applyProtection="1">
      <alignment horizontal="center" vertical="center"/>
    </xf>
    <xf numFmtId="0" fontId="0" fillId="2" borderId="7" xfId="0" applyFill="1" applyBorder="1" applyProtection="1">
      <protection locked="0"/>
    </xf>
    <xf numFmtId="44" fontId="0" fillId="2" borderId="27" xfId="1" applyFont="1" applyFill="1" applyBorder="1" applyAlignment="1" applyProtection="1">
      <protection locked="0"/>
    </xf>
    <xf numFmtId="44" fontId="0" fillId="0" borderId="17" xfId="1" applyFont="1" applyFill="1" applyBorder="1" applyAlignment="1" applyProtection="1">
      <alignment horizontal="center"/>
    </xf>
    <xf numFmtId="44" fontId="0" fillId="0" borderId="27" xfId="1" applyFont="1" applyFill="1" applyBorder="1" applyAlignment="1" applyProtection="1">
      <alignment horizontal="center"/>
    </xf>
    <xf numFmtId="44" fontId="0" fillId="0" borderId="38" xfId="1" applyFont="1" applyFill="1" applyBorder="1" applyAlignment="1" applyProtection="1">
      <alignment horizontal="center" vertical="center"/>
    </xf>
    <xf numFmtId="44" fontId="0" fillId="0" borderId="0" xfId="0" applyNumberFormat="1"/>
    <xf numFmtId="0" fontId="0" fillId="2" borderId="11" xfId="0" applyFill="1" applyBorder="1" applyProtection="1">
      <protection locked="0"/>
    </xf>
    <xf numFmtId="44" fontId="0" fillId="2" borderId="22" xfId="1" applyFont="1" applyFill="1" applyBorder="1" applyAlignment="1" applyProtection="1">
      <protection locked="0"/>
    </xf>
    <xf numFmtId="44" fontId="0" fillId="0" borderId="31" xfId="1" applyFont="1" applyFill="1" applyBorder="1" applyAlignment="1" applyProtection="1">
      <alignment horizontal="center"/>
    </xf>
    <xf numFmtId="44" fontId="0" fillId="0" borderId="22" xfId="1" applyFont="1" applyFill="1" applyBorder="1" applyAlignment="1" applyProtection="1">
      <alignment horizontal="center"/>
    </xf>
    <xf numFmtId="44" fontId="0" fillId="0" borderId="50" xfId="1" applyFont="1" applyFill="1" applyBorder="1" applyAlignment="1" applyProtection="1">
      <alignment horizontal="center" vertical="center"/>
    </xf>
    <xf numFmtId="0" fontId="0" fillId="0" borderId="0" xfId="0" applyProtection="1">
      <protection locked="0"/>
    </xf>
    <xf numFmtId="0" fontId="0" fillId="4" borderId="14" xfId="0" applyFill="1" applyBorder="1"/>
    <xf numFmtId="0" fontId="3" fillId="0" borderId="0" xfId="0" applyFont="1"/>
    <xf numFmtId="0" fontId="8" fillId="0" borderId="42" xfId="0" applyFont="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4"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44" fontId="0" fillId="0" borderId="29" xfId="0" applyNumberFormat="1" applyBorder="1" applyAlignment="1">
      <alignment horizontal="center" vertical="center"/>
    </xf>
    <xf numFmtId="44" fontId="0" fillId="0" borderId="38" xfId="0" applyNumberFormat="1" applyBorder="1" applyAlignment="1">
      <alignment horizontal="center" vertical="center"/>
    </xf>
    <xf numFmtId="44" fontId="0" fillId="0" borderId="50" xfId="0" applyNumberFormat="1" applyBorder="1" applyAlignment="1">
      <alignment horizontal="center" vertical="center"/>
    </xf>
    <xf numFmtId="0" fontId="8" fillId="0" borderId="4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8" xfId="1" applyNumberFormat="1" applyFont="1" applyFill="1" applyBorder="1" applyAlignment="1">
      <alignment horizontal="center"/>
    </xf>
    <xf numFmtId="14" fontId="0" fillId="0" borderId="8" xfId="1" applyNumberFormat="1" applyFont="1" applyFill="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2" borderId="7"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168" fontId="0" fillId="0" borderId="14" xfId="0" applyNumberFormat="1" applyBorder="1" applyAlignment="1">
      <alignment horizontal="center"/>
    </xf>
  </cellXfs>
  <cellStyles count="3">
    <cellStyle name="Currency" xfId="1" builtinId="4"/>
    <cellStyle name="Normal" xfId="0" builtinId="0"/>
    <cellStyle name="Percent"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Exponential Average**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1"/>
          <c:tx>
            <c:strRef>
              <c:f>Validation!$Y$2</c:f>
              <c:strCache>
                <c:ptCount val="1"/>
                <c:pt idx="0">
                  <c:v>Exponential Area</c:v>
                </c:pt>
              </c:strCache>
            </c:strRef>
          </c:tx>
          <c:spPr>
            <a:solidFill>
              <a:schemeClr val="accent1"/>
            </a:solidFill>
            <a:ln>
              <a:noFill/>
            </a:ln>
            <a:effectLst/>
          </c:spPr>
          <c:invertIfNegative val="0"/>
          <c:val>
            <c:numRef>
              <c:f>Validation!$Y$3:$Y$69</c:f>
              <c:numCache>
                <c:formatCode>0.0%</c:formatCode>
                <c:ptCount val="67"/>
                <c:pt idx="0">
                  <c:v>0</c:v>
                </c:pt>
                <c:pt idx="1">
                  <c:v>0</c:v>
                </c:pt>
                <c:pt idx="2">
                  <c:v>0</c:v>
                </c:pt>
                <c:pt idx="3">
                  <c:v>0</c:v>
                </c:pt>
                <c:pt idx="4">
                  <c:v>0</c:v>
                </c:pt>
                <c:pt idx="5">
                  <c:v>0</c:v>
                </c:pt>
                <c:pt idx="6">
                  <c:v>1.020141050059808</c:v>
                </c:pt>
                <c:pt idx="7">
                  <c:v>1.0232754759793197</c:v>
                </c:pt>
                <c:pt idx="8">
                  <c:v>1.0264195325531849</c:v>
                </c:pt>
                <c:pt idx="9">
                  <c:v>1.0295732493719905</c:v>
                </c:pt>
                <c:pt idx="10">
                  <c:v>1.0327366561172422</c:v>
                </c:pt>
                <c:pt idx="11">
                  <c:v>1.0359097825616432</c:v>
                </c:pt>
                <c:pt idx="12">
                  <c:v>1.0390926585693743</c:v>
                </c:pt>
                <c:pt idx="13">
                  <c:v>1.0422853140963753</c:v>
                </c:pt>
                <c:pt idx="14">
                  <c:v>1.0454877791906272</c:v>
                </c:pt>
                <c:pt idx="15">
                  <c:v>1.0487000839924345</c:v>
                </c:pt>
                <c:pt idx="16">
                  <c:v>1.0519222587347088</c:v>
                </c:pt>
                <c:pt idx="17">
                  <c:v>1.0551543337432538</c:v>
                </c:pt>
                <c:pt idx="18">
                  <c:v>1.0583963394370508</c:v>
                </c:pt>
                <c:pt idx="19">
                  <c:v>1.0616483063285442</c:v>
                </c:pt>
                <c:pt idx="20">
                  <c:v>1.0649102650239293</c:v>
                </c:pt>
                <c:pt idx="21">
                  <c:v>1.0681822462234403</c:v>
                </c:pt>
                <c:pt idx="22">
                  <c:v>1.071464280721639</c:v>
                </c:pt>
                <c:pt idx="23">
                  <c:v>1.074756399407705</c:v>
                </c:pt>
                <c:pt idx="24">
                  <c:v>1.0780586332657258</c:v>
                </c:pt>
                <c:pt idx="25">
                  <c:v>1.0813710133749894</c:v>
                </c:pt>
                <c:pt idx="26">
                  <c:v>1.0846935709102759</c:v>
                </c:pt>
                <c:pt idx="27">
                  <c:v>1.0880263371421508</c:v>
                </c:pt>
                <c:pt idx="28">
                  <c:v>1.0913693434372604</c:v>
                </c:pt>
                <c:pt idx="29">
                  <c:v>1.0947226212586261</c:v>
                </c:pt>
                <c:pt idx="30">
                  <c:v>1.0980862021659403</c:v>
                </c:pt>
                <c:pt idx="31">
                  <c:v>1.1014601178158647</c:v>
                </c:pt>
                <c:pt idx="32">
                  <c:v>1.1048443999623268</c:v>
                </c:pt>
                <c:pt idx="33">
                  <c:v>1.1082390804568194</c:v>
                </c:pt>
                <c:pt idx="34">
                  <c:v>1.1116441912487005</c:v>
                </c:pt>
                <c:pt idx="35">
                  <c:v>1.115059764385494</c:v>
                </c:pt>
                <c:pt idx="36">
                  <c:v>1.1184858320131907</c:v>
                </c:pt>
                <c:pt idx="37">
                  <c:v>1.1219224263765517</c:v>
                </c:pt>
                <c:pt idx="38">
                  <c:v>1.1253695798194112</c:v>
                </c:pt>
                <c:pt idx="39">
                  <c:v>1.1288273247849816</c:v>
                </c:pt>
                <c:pt idx="40">
                  <c:v>1.1322956938161579</c:v>
                </c:pt>
                <c:pt idx="41">
                  <c:v>1.1357747195558248</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numCache>
            </c:numRef>
          </c:val>
          <c:extLst>
            <c:ext xmlns:c16="http://schemas.microsoft.com/office/drawing/2014/chart" uri="{C3380CC4-5D6E-409C-BE32-E72D297353CC}">
              <c16:uniqueId val="{00000000-BA4E-4023-9009-3514021CD0AB}"/>
            </c:ext>
          </c:extLst>
        </c:ser>
        <c:dLbls>
          <c:showLegendKey val="0"/>
          <c:showVal val="0"/>
          <c:showCatName val="0"/>
          <c:showSerName val="0"/>
          <c:showPercent val="0"/>
          <c:showBubbleSize val="0"/>
        </c:dLbls>
        <c:gapWidth val="0"/>
        <c:axId val="838271936"/>
        <c:axId val="1676744736"/>
      </c:barChart>
      <c:scatterChart>
        <c:scatterStyle val="lineMarker"/>
        <c:varyColors val="0"/>
        <c:ser>
          <c:idx val="4"/>
          <c:order val="6"/>
          <c:tx>
            <c:strRef>
              <c:f>Validation!$AC$8</c:f>
              <c:strCache>
                <c:ptCount val="1"/>
                <c:pt idx="0">
                  <c:v>Average %</c:v>
                </c:pt>
              </c:strCache>
            </c:strRef>
          </c:tx>
          <c:spPr>
            <a:ln w="25400" cap="rnd">
              <a:noFill/>
              <a:round/>
            </a:ln>
            <a:effectLst/>
          </c:spPr>
          <c:marker>
            <c:symbol val="diamond"/>
            <c:size val="10"/>
            <c:spPr>
              <a:solidFill>
                <a:schemeClr val="accent2"/>
              </a:solidFill>
              <a:ln w="9525">
                <a:solidFill>
                  <a:schemeClr val="accent2"/>
                </a:solidFill>
              </a:ln>
              <a:effectLst/>
            </c:spPr>
          </c:marker>
          <c:dLbls>
            <c:dLbl>
              <c:idx val="0"/>
              <c:layout>
                <c:manualLayout>
                  <c:x val="-8.8841439823242663E-2"/>
                  <c:y val="-4.111600587371507E-2"/>
                </c:manualLayout>
              </c:layout>
              <c:tx>
                <c:rich>
                  <a:bodyPr/>
                  <a:lstStyle/>
                  <a:p>
                    <a:fld id="{7181BA51-1C34-499D-9802-A944C58B1CDF}" type="YVALUE">
                      <a:rPr lang="en-US" b="1"/>
                      <a:pPr/>
                      <a:t>[Y 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EC9-47E1-9457-6EE1F6C6C0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Validation!$AD$8</c:f>
              <c:numCache>
                <c:formatCode>0.0</c:formatCode>
                <c:ptCount val="1"/>
                <c:pt idx="0">
                  <c:v>24.665646043483964</c:v>
                </c:pt>
              </c:numCache>
            </c:numRef>
          </c:xVal>
          <c:yVal>
            <c:numRef>
              <c:f>Validation!$AE$8</c:f>
              <c:numCache>
                <c:formatCode>0.00%</c:formatCode>
                <c:ptCount val="1"/>
                <c:pt idx="0">
                  <c:v>1.0769533907683382</c:v>
                </c:pt>
              </c:numCache>
            </c:numRef>
          </c:yVal>
          <c:smooth val="0"/>
          <c:extLst>
            <c:ext xmlns:c16="http://schemas.microsoft.com/office/drawing/2014/chart" uri="{C3380CC4-5D6E-409C-BE32-E72D297353CC}">
              <c16:uniqueId val="{00000005-2EC9-47E1-9457-6EE1F6C6C0B4}"/>
            </c:ext>
          </c:extLst>
        </c:ser>
        <c:ser>
          <c:idx val="5"/>
          <c:order val="7"/>
          <c:tx>
            <c:strRef>
              <c:f>Validation!$AC$9</c:f>
              <c:strCache>
                <c:ptCount val="1"/>
                <c:pt idx="0">
                  <c:v>NTP %</c:v>
                </c:pt>
              </c:strCache>
            </c:strRef>
          </c:tx>
          <c:spPr>
            <a:ln w="25400" cap="rnd">
              <a:noFill/>
              <a:round/>
            </a:ln>
            <a:effectLst/>
          </c:spPr>
          <c:marker>
            <c:symbol val="diamond"/>
            <c:size val="10"/>
            <c:spPr>
              <a:solidFill>
                <a:srgbClr val="FF0000"/>
              </a:solidFill>
              <a:ln w="9525">
                <a:solidFill>
                  <a:srgbClr val="FF0000"/>
                </a:solidFill>
              </a:ln>
              <a:effectLst/>
            </c:spPr>
          </c:marker>
          <c:dLbls>
            <c:dLbl>
              <c:idx val="0"/>
              <c:layout>
                <c:manualLayout>
                  <c:x val="-9.0549929050612737E-2"/>
                  <c:y val="-4.1116005873715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C9-47E1-9457-6EE1F6C6C0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Validation!$AD$9</c:f>
              <c:numCache>
                <c:formatCode>General</c:formatCode>
                <c:ptCount val="1"/>
                <c:pt idx="0">
                  <c:v>6.5</c:v>
                </c:pt>
              </c:numCache>
            </c:numRef>
          </c:xVal>
          <c:yVal>
            <c:numRef>
              <c:f>Validation!$AE$9</c:f>
              <c:numCache>
                <c:formatCode>0.00%</c:formatCode>
                <c:ptCount val="1"/>
                <c:pt idx="0">
                  <c:v>1.0185774393731681</c:v>
                </c:pt>
              </c:numCache>
            </c:numRef>
          </c:yVal>
          <c:smooth val="0"/>
          <c:extLst>
            <c:ext xmlns:c16="http://schemas.microsoft.com/office/drawing/2014/chart" uri="{C3380CC4-5D6E-409C-BE32-E72D297353CC}">
              <c16:uniqueId val="{00000007-2EC9-47E1-9457-6EE1F6C6C0B4}"/>
            </c:ext>
          </c:extLst>
        </c:ser>
        <c:ser>
          <c:idx val="6"/>
          <c:order val="8"/>
          <c:tx>
            <c:strRef>
              <c:f>Validation!$AC$10</c:f>
              <c:strCache>
                <c:ptCount val="1"/>
                <c:pt idx="0">
                  <c:v>End %</c:v>
                </c:pt>
              </c:strCache>
            </c:strRef>
          </c:tx>
          <c:spPr>
            <a:ln w="25400" cap="rnd">
              <a:noFill/>
              <a:round/>
            </a:ln>
            <a:effectLst/>
          </c:spPr>
          <c:marker>
            <c:symbol val="diamond"/>
            <c:size val="10"/>
            <c:spPr>
              <a:solidFill>
                <a:srgbClr val="FF0000"/>
              </a:solidFill>
              <a:ln w="9525">
                <a:solidFill>
                  <a:srgbClr val="FF0000"/>
                </a:solidFill>
              </a:ln>
              <a:effectLst/>
            </c:spPr>
          </c:marker>
          <c:dLbls>
            <c:dLbl>
              <c:idx val="0"/>
              <c:layout>
                <c:manualLayout>
                  <c:x val="-0.12301122437064368"/>
                  <c:y val="-2.0558002936857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C9-47E1-9457-6EE1F6C6C0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Validation!$AD$10</c:f>
              <c:numCache>
                <c:formatCode>General</c:formatCode>
                <c:ptCount val="1"/>
                <c:pt idx="0">
                  <c:v>42.5</c:v>
                </c:pt>
              </c:numCache>
            </c:numRef>
          </c:xVal>
          <c:yVal>
            <c:numRef>
              <c:f>Validation!$AE$10</c:f>
              <c:numCache>
                <c:formatCode>0.00%</c:formatCode>
                <c:ptCount val="1"/>
                <c:pt idx="0">
                  <c:v>1.1375182389196599</c:v>
                </c:pt>
              </c:numCache>
            </c:numRef>
          </c:yVal>
          <c:smooth val="0"/>
          <c:extLst>
            <c:ext xmlns:c16="http://schemas.microsoft.com/office/drawing/2014/chart" uri="{C3380CC4-5D6E-409C-BE32-E72D297353CC}">
              <c16:uniqueId val="{00000008-2EC9-47E1-9457-6EE1F6C6C0B4}"/>
            </c:ext>
          </c:extLst>
        </c:ser>
        <c:dLbls>
          <c:showLegendKey val="0"/>
          <c:showVal val="0"/>
          <c:showCatName val="0"/>
          <c:showSerName val="0"/>
          <c:showPercent val="0"/>
          <c:showBubbleSize val="0"/>
        </c:dLbls>
        <c:axId val="838271936"/>
        <c:axId val="1676744736"/>
      </c:scatterChart>
      <c:scatterChart>
        <c:scatterStyle val="smoothMarker"/>
        <c:varyColors val="0"/>
        <c:ser>
          <c:idx val="1"/>
          <c:order val="0"/>
          <c:tx>
            <c:strRef>
              <c:f>Validation!$R$2</c:f>
              <c:strCache>
                <c:ptCount val="1"/>
                <c:pt idx="0">
                  <c:v>Exponential Curve</c:v>
                </c:pt>
              </c:strCache>
            </c:strRef>
          </c:tx>
          <c:spPr>
            <a:ln w="28575" cap="rnd">
              <a:solidFill>
                <a:schemeClr val="accent2"/>
              </a:solidFill>
              <a:round/>
            </a:ln>
            <a:effectLst/>
          </c:spPr>
          <c:marker>
            <c:symbol val="none"/>
          </c:marker>
          <c:xVal>
            <c:numRef>
              <c:f>Validation!$P$3:$P$69</c:f>
              <c:numCache>
                <c:formatCode>General</c:formatCode>
                <c:ptCount val="67"/>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numCache>
            </c:numRef>
          </c:xVal>
          <c:yVal>
            <c:numRef>
              <c:f>Validation!$R$3:$R$69</c:f>
              <c:numCache>
                <c:formatCode>0.0%</c:formatCode>
                <c:ptCount val="67"/>
                <c:pt idx="0">
                  <c:v>1</c:v>
                </c:pt>
                <c:pt idx="1">
                  <c:v>1.0030725417032555</c:v>
                </c:pt>
                <c:pt idx="2">
                  <c:v>1.0061545239190293</c:v>
                </c:pt>
                <c:pt idx="3">
                  <c:v>1.0092459756536898</c:v>
                </c:pt>
                <c:pt idx="4">
                  <c:v>1.0123469260027285</c:v>
                </c:pt>
                <c:pt idx="5">
                  <c:v>1.0154574041510345</c:v>
                </c:pt>
                <c:pt idx="6">
                  <c:v>1.0185774393731681</c:v>
                </c:pt>
                <c:pt idx="7">
                  <c:v>1.0217070610336374</c:v>
                </c:pt>
                <c:pt idx="8">
                  <c:v>1.024846298587174</c:v>
                </c:pt>
                <c:pt idx="9">
                  <c:v>1.0279951815790103</c:v>
                </c:pt>
                <c:pt idx="10">
                  <c:v>1.0311537396451573</c:v>
                </c:pt>
                <c:pt idx="11">
                  <c:v>1.0343220025126851</c:v>
                </c:pt>
                <c:pt idx="12">
                  <c:v>1.0375000000000001</c:v>
                </c:pt>
                <c:pt idx="13">
                  <c:v>1.0406877620171278</c:v>
                </c:pt>
                <c:pt idx="14">
                  <c:v>1.0438853185659931</c:v>
                </c:pt>
                <c:pt idx="15">
                  <c:v>1.0470926997407033</c:v>
                </c:pt>
                <c:pt idx="16">
                  <c:v>1.0503099357278309</c:v>
                </c:pt>
                <c:pt idx="17">
                  <c:v>1.0535370568066984</c:v>
                </c:pt>
                <c:pt idx="18">
                  <c:v>1.0567740933496621</c:v>
                </c:pt>
                <c:pt idx="19">
                  <c:v>1.0600210758223989</c:v>
                </c:pt>
                <c:pt idx="20">
                  <c:v>1.063278034784193</c:v>
                </c:pt>
                <c:pt idx="21">
                  <c:v>1.0665450008882231</c:v>
                </c:pt>
                <c:pt idx="22">
                  <c:v>1.069822004881851</c:v>
                </c:pt>
                <c:pt idx="23">
                  <c:v>1.0731090776069108</c:v>
                </c:pt>
                <c:pt idx="24">
                  <c:v>1.0764062500000002</c:v>
                </c:pt>
                <c:pt idx="25">
                  <c:v>1.0797135530927702</c:v>
                </c:pt>
                <c:pt idx="26">
                  <c:v>1.0830310180122178</c:v>
                </c:pt>
                <c:pt idx="27">
                  <c:v>1.0863586759809798</c:v>
                </c:pt>
                <c:pt idx="28">
                  <c:v>1.0896965583176248</c:v>
                </c:pt>
                <c:pt idx="29">
                  <c:v>1.0930446964369496</c:v>
                </c:pt>
                <c:pt idx="30">
                  <c:v>1.0964031218502746</c:v>
                </c:pt>
                <c:pt idx="31">
                  <c:v>1.099771866165739</c:v>
                </c:pt>
                <c:pt idx="32">
                  <c:v>1.1031509610886003</c:v>
                </c:pt>
                <c:pt idx="33">
                  <c:v>1.1065404384215316</c:v>
                </c:pt>
                <c:pt idx="34">
                  <c:v>1.1099403300649204</c:v>
                </c:pt>
                <c:pt idx="35">
                  <c:v>1.1133506680171701</c:v>
                </c:pt>
                <c:pt idx="36">
                  <c:v>1.1167714843750003</c:v>
                </c:pt>
                <c:pt idx="37">
                  <c:v>1.120202811333749</c:v>
                </c:pt>
                <c:pt idx="38">
                  <c:v>1.1236446811876761</c:v>
                </c:pt>
                <c:pt idx="39">
                  <c:v>1.1270971263302665</c:v>
                </c:pt>
                <c:pt idx="40">
                  <c:v>1.1305601792545357</c:v>
                </c:pt>
                <c:pt idx="41">
                  <c:v>1.1340338725533354</c:v>
                </c:pt>
                <c:pt idx="42">
                  <c:v>1.1375182389196599</c:v>
                </c:pt>
                <c:pt idx="43" formatCode="0%">
                  <c:v>0</c:v>
                </c:pt>
                <c:pt idx="44" formatCode="0%">
                  <c:v>0</c:v>
                </c:pt>
                <c:pt idx="45" formatCode="0%">
                  <c:v>0</c:v>
                </c:pt>
                <c:pt idx="46" formatCode="0%">
                  <c:v>0</c:v>
                </c:pt>
                <c:pt idx="47" formatCode="0%">
                  <c:v>0</c:v>
                </c:pt>
                <c:pt idx="48" formatCode="0%">
                  <c:v>0</c:v>
                </c:pt>
                <c:pt idx="49" formatCode="0%">
                  <c:v>0</c:v>
                </c:pt>
                <c:pt idx="50" formatCode="0%">
                  <c:v>0</c:v>
                </c:pt>
                <c:pt idx="51" formatCode="0%">
                  <c:v>0</c:v>
                </c:pt>
                <c:pt idx="52" formatCode="0%">
                  <c:v>0</c:v>
                </c:pt>
                <c:pt idx="53" formatCode="0%">
                  <c:v>0</c:v>
                </c:pt>
                <c:pt idx="54" formatCode="0%">
                  <c:v>0</c:v>
                </c:pt>
                <c:pt idx="55" formatCode="0%">
                  <c:v>0</c:v>
                </c:pt>
                <c:pt idx="56" formatCode="0%">
                  <c:v>0</c:v>
                </c:pt>
                <c:pt idx="57" formatCode="0%">
                  <c:v>0</c:v>
                </c:pt>
                <c:pt idx="58" formatCode="0%">
                  <c:v>0</c:v>
                </c:pt>
                <c:pt idx="59" formatCode="0%">
                  <c:v>0</c:v>
                </c:pt>
                <c:pt idx="60" formatCode="0%">
                  <c:v>0</c:v>
                </c:pt>
                <c:pt idx="61" formatCode="0%">
                  <c:v>0</c:v>
                </c:pt>
                <c:pt idx="62" formatCode="0%">
                  <c:v>0</c:v>
                </c:pt>
                <c:pt idx="63" formatCode="0%">
                  <c:v>0</c:v>
                </c:pt>
                <c:pt idx="64" formatCode="0%">
                  <c:v>0</c:v>
                </c:pt>
                <c:pt idx="65" formatCode="0%">
                  <c:v>0</c:v>
                </c:pt>
                <c:pt idx="66" formatCode="0%">
                  <c:v>0</c:v>
                </c:pt>
              </c:numCache>
            </c:numRef>
          </c:yVal>
          <c:smooth val="1"/>
          <c:extLst>
            <c:ext xmlns:c16="http://schemas.microsoft.com/office/drawing/2014/chart" uri="{C3380CC4-5D6E-409C-BE32-E72D297353CC}">
              <c16:uniqueId val="{00000002-BA4E-4023-9009-3514021CD0AB}"/>
            </c:ext>
          </c:extLst>
        </c:ser>
        <c:ser>
          <c:idx val="7"/>
          <c:order val="2"/>
          <c:spPr>
            <a:ln w="28575" cap="rnd">
              <a:solidFill>
                <a:schemeClr val="accent2">
                  <a:lumMod val="60000"/>
                </a:schemeClr>
              </a:solidFill>
              <a:round/>
            </a:ln>
            <a:effectLst/>
          </c:spPr>
          <c:marker>
            <c:symbol val="none"/>
          </c:marker>
          <c:xVal>
            <c:numRef>
              <c:f>Validation!$B$55:$B$56</c:f>
              <c:numCache>
                <c:formatCode>0.00</c:formatCode>
                <c:ptCount val="2"/>
                <c:pt idx="0">
                  <c:v>24.665646043483964</c:v>
                </c:pt>
                <c:pt idx="1">
                  <c:v>24.665646043483964</c:v>
                </c:pt>
              </c:numCache>
            </c:numRef>
          </c:xVal>
          <c:yVal>
            <c:numRef>
              <c:f>Validation!$C$55:$C$56</c:f>
              <c:numCache>
                <c:formatCode>0%</c:formatCode>
                <c:ptCount val="2"/>
                <c:pt idx="0" formatCode="General">
                  <c:v>0</c:v>
                </c:pt>
                <c:pt idx="1">
                  <c:v>1.0769533907683382</c:v>
                </c:pt>
              </c:numCache>
            </c:numRef>
          </c:yVal>
          <c:smooth val="1"/>
          <c:extLst>
            <c:ext xmlns:c16="http://schemas.microsoft.com/office/drawing/2014/chart" uri="{C3380CC4-5D6E-409C-BE32-E72D297353CC}">
              <c16:uniqueId val="{00000003-72FE-4B8C-A807-9C64463A5A8D}"/>
            </c:ext>
          </c:extLst>
        </c:ser>
        <c:ser>
          <c:idx val="8"/>
          <c:order val="3"/>
          <c:spPr>
            <a:ln w="28575" cap="rnd">
              <a:solidFill>
                <a:schemeClr val="accent3">
                  <a:lumMod val="60000"/>
                </a:schemeClr>
              </a:solidFill>
              <a:round/>
            </a:ln>
            <a:effectLst/>
          </c:spPr>
          <c:marker>
            <c:symbol val="none"/>
          </c:marker>
          <c:xVal>
            <c:numRef>
              <c:f>Validation!$D$55:$D$56</c:f>
              <c:numCache>
                <c:formatCode>General</c:formatCode>
                <c:ptCount val="2"/>
                <c:pt idx="0" formatCode="0.00">
                  <c:v>6.5</c:v>
                </c:pt>
                <c:pt idx="1">
                  <c:v>42.5</c:v>
                </c:pt>
              </c:numCache>
            </c:numRef>
          </c:xVal>
          <c:yVal>
            <c:numRef>
              <c:f>Validation!$E$55:$E$56</c:f>
              <c:numCache>
                <c:formatCode>0%</c:formatCode>
                <c:ptCount val="2"/>
                <c:pt idx="0">
                  <c:v>1.0769533907683382</c:v>
                </c:pt>
                <c:pt idx="1">
                  <c:v>1.0769533907683382</c:v>
                </c:pt>
              </c:numCache>
            </c:numRef>
          </c:yVal>
          <c:smooth val="1"/>
          <c:extLst>
            <c:ext xmlns:c16="http://schemas.microsoft.com/office/drawing/2014/chart" uri="{C3380CC4-5D6E-409C-BE32-E72D297353CC}">
              <c16:uniqueId val="{00000004-72FE-4B8C-A807-9C64463A5A8D}"/>
            </c:ext>
          </c:extLst>
        </c:ser>
        <c:ser>
          <c:idx val="2"/>
          <c:order val="4"/>
          <c:tx>
            <c:v>NTP</c:v>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B-2EC9-47E1-9457-6EE1F6C6C0B4}"/>
              </c:ext>
            </c:extLst>
          </c:dPt>
          <c:xVal>
            <c:numRef>
              <c:f>Validation!$AD$4:$AD$5</c:f>
              <c:numCache>
                <c:formatCode>General</c:formatCode>
                <c:ptCount val="2"/>
                <c:pt idx="0">
                  <c:v>6.5</c:v>
                </c:pt>
                <c:pt idx="1">
                  <c:v>6.5</c:v>
                </c:pt>
              </c:numCache>
            </c:numRef>
          </c:xVal>
          <c:yVal>
            <c:numRef>
              <c:f>Validation!$AE$4:$AE$5</c:f>
              <c:numCache>
                <c:formatCode>0.00%</c:formatCode>
                <c:ptCount val="2"/>
                <c:pt idx="0">
                  <c:v>1</c:v>
                </c:pt>
                <c:pt idx="1">
                  <c:v>1.1512700628116259</c:v>
                </c:pt>
              </c:numCache>
            </c:numRef>
          </c:yVal>
          <c:smooth val="1"/>
          <c:extLst>
            <c:ext xmlns:c16="http://schemas.microsoft.com/office/drawing/2014/chart" uri="{C3380CC4-5D6E-409C-BE32-E72D297353CC}">
              <c16:uniqueId val="{00000002-2EC9-47E1-9457-6EE1F6C6C0B4}"/>
            </c:ext>
          </c:extLst>
        </c:ser>
        <c:ser>
          <c:idx val="3"/>
          <c:order val="5"/>
          <c:tx>
            <c:v>End</c:v>
          </c:tx>
          <c:spPr>
            <a:ln w="28575" cap="rnd">
              <a:solidFill>
                <a:srgbClr val="FF0000"/>
              </a:solidFill>
              <a:round/>
            </a:ln>
            <a:effectLst/>
          </c:spPr>
          <c:marker>
            <c:symbol val="none"/>
          </c:marker>
          <c:xVal>
            <c:numRef>
              <c:f>Validation!$AD$6:$AD$7</c:f>
              <c:numCache>
                <c:formatCode>General</c:formatCode>
                <c:ptCount val="2"/>
                <c:pt idx="0">
                  <c:v>42.5</c:v>
                </c:pt>
                <c:pt idx="1">
                  <c:v>42.5</c:v>
                </c:pt>
              </c:numCache>
            </c:numRef>
          </c:xVal>
          <c:yVal>
            <c:numRef>
              <c:f>Validation!$AE$6:$AE$7</c:f>
              <c:numCache>
                <c:formatCode>0.00%</c:formatCode>
                <c:ptCount val="2"/>
                <c:pt idx="0">
                  <c:v>1</c:v>
                </c:pt>
                <c:pt idx="1">
                  <c:v>1.1512700628116259</c:v>
                </c:pt>
              </c:numCache>
            </c:numRef>
          </c:yVal>
          <c:smooth val="1"/>
          <c:extLst>
            <c:ext xmlns:c16="http://schemas.microsoft.com/office/drawing/2014/chart" uri="{C3380CC4-5D6E-409C-BE32-E72D297353CC}">
              <c16:uniqueId val="{00000003-2EC9-47E1-9457-6EE1F6C6C0B4}"/>
            </c:ext>
          </c:extLst>
        </c:ser>
        <c:dLbls>
          <c:showLegendKey val="0"/>
          <c:showVal val="0"/>
          <c:showCatName val="0"/>
          <c:showSerName val="0"/>
          <c:showPercent val="0"/>
          <c:showBubbleSize val="0"/>
        </c:dLbls>
        <c:axId val="838271936"/>
        <c:axId val="1676744736"/>
      </c:scatterChart>
      <c:catAx>
        <c:axId val="838271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744736"/>
        <c:crosses val="autoZero"/>
        <c:auto val="1"/>
        <c:lblAlgn val="ctr"/>
        <c:lblOffset val="100"/>
        <c:tickLblSkip val="6"/>
        <c:tickMarkSkip val="1"/>
        <c:noMultiLvlLbl val="0"/>
      </c:catAx>
      <c:valAx>
        <c:axId val="1676744736"/>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271936"/>
        <c:crossesAt val="0"/>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190500</xdr:colOff>
      <xdr:row>11</xdr:row>
      <xdr:rowOff>42861</xdr:rowOff>
    </xdr:from>
    <xdr:ext cx="3929063" cy="6590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8FC2BC5F-6689-E8B4-6665-5E1611E69849}"/>
                </a:ext>
              </a:extLst>
            </xdr:cNvPr>
            <xdr:cNvSpPr txBox="1"/>
          </xdr:nvSpPr>
          <xdr:spPr>
            <a:xfrm>
              <a:off x="1893094" y="2185986"/>
              <a:ext cx="3929063" cy="65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nary>
                    <m:naryPr>
                      <m:ctrlPr>
                        <a:rPr lang="en-US" sz="2000" b="0" i="1">
                          <a:latin typeface="Cambria Math" panose="02040503050406030204" pitchFamily="18" charset="0"/>
                        </a:rPr>
                      </m:ctrlPr>
                    </m:naryPr>
                    <m:sub>
                      <m:r>
                        <m:rPr>
                          <m:brk m:alnAt="23"/>
                        </m:rPr>
                        <a:rPr lang="en-US" sz="2000" b="0" i="1">
                          <a:latin typeface="Cambria Math" panose="02040503050406030204" pitchFamily="18" charset="0"/>
                        </a:rPr>
                        <m:t>𝑎</m:t>
                      </m:r>
                    </m:sub>
                    <m:sup>
                      <m:r>
                        <a:rPr lang="en-US" sz="2000" b="0" i="1">
                          <a:latin typeface="Cambria Math" panose="02040503050406030204" pitchFamily="18" charset="0"/>
                        </a:rPr>
                        <m:t>𝑏</m:t>
                      </m:r>
                    </m:sup>
                    <m:e>
                      <m:sSup>
                        <m:sSupPr>
                          <m:ctrlPr>
                            <a:rPr lang="en-US" sz="2000" b="0" i="1">
                              <a:solidFill>
                                <a:schemeClr val="tx1"/>
                              </a:solidFill>
                              <a:effectLst/>
                              <a:latin typeface="Cambria Math" panose="02040503050406030204" pitchFamily="18" charset="0"/>
                              <a:ea typeface="+mn-ea"/>
                              <a:cs typeface="+mn-cs"/>
                            </a:rPr>
                          </m:ctrlPr>
                        </m:sSupPr>
                        <m:e>
                          <m:r>
                            <a:rPr lang="en-US" sz="2000" b="0" i="1">
                              <a:solidFill>
                                <a:schemeClr val="tx1"/>
                              </a:solidFill>
                              <a:effectLst/>
                              <a:latin typeface="Cambria Math" panose="02040503050406030204" pitchFamily="18" charset="0"/>
                              <a:ea typeface="+mn-ea"/>
                              <a:cs typeface="+mn-cs"/>
                            </a:rPr>
                            <m:t>(1+</m:t>
                          </m:r>
                          <m:r>
                            <a:rPr lang="en-US" sz="2000" b="0" i="1">
                              <a:solidFill>
                                <a:schemeClr val="tx1"/>
                              </a:solidFill>
                              <a:effectLst/>
                              <a:latin typeface="Cambria Math" panose="02040503050406030204" pitchFamily="18" charset="0"/>
                              <a:ea typeface="+mn-ea"/>
                              <a:cs typeface="+mn-cs"/>
                            </a:rPr>
                            <m:t>𝑖</m:t>
                          </m:r>
                          <m:r>
                            <a:rPr lang="en-US" sz="2000" b="0" i="1">
                              <a:solidFill>
                                <a:schemeClr val="tx1"/>
                              </a:solidFill>
                              <a:effectLst/>
                              <a:latin typeface="Cambria Math" panose="02040503050406030204" pitchFamily="18" charset="0"/>
                              <a:ea typeface="+mn-ea"/>
                              <a:cs typeface="+mn-cs"/>
                            </a:rPr>
                            <m:t>)</m:t>
                          </m:r>
                        </m:e>
                        <m:sup>
                          <m:f>
                            <m:fPr>
                              <m:ctrlPr>
                                <a:rPr lang="en-US" sz="2000" b="0" i="1">
                                  <a:solidFill>
                                    <a:schemeClr val="tx1"/>
                                  </a:solidFill>
                                  <a:effectLst/>
                                  <a:latin typeface="Cambria Math" panose="02040503050406030204" pitchFamily="18" charset="0"/>
                                  <a:ea typeface="+mn-ea"/>
                                  <a:cs typeface="+mn-cs"/>
                                </a:rPr>
                              </m:ctrlPr>
                            </m:fPr>
                            <m:num>
                              <m:r>
                                <a:rPr lang="en-US" sz="2000" b="0" i="1">
                                  <a:solidFill>
                                    <a:schemeClr val="tx1"/>
                                  </a:solidFill>
                                  <a:effectLst/>
                                  <a:latin typeface="Cambria Math" panose="02040503050406030204" pitchFamily="18" charset="0"/>
                                  <a:ea typeface="+mn-ea"/>
                                  <a:cs typeface="+mn-cs"/>
                                </a:rPr>
                                <m:t>(</m:t>
                              </m:r>
                              <m:r>
                                <a:rPr lang="en-US" sz="2000" b="0" i="1">
                                  <a:solidFill>
                                    <a:schemeClr val="tx1"/>
                                  </a:solidFill>
                                  <a:effectLst/>
                                  <a:latin typeface="Cambria Math" panose="02040503050406030204" pitchFamily="18" charset="0"/>
                                  <a:ea typeface="+mn-ea"/>
                                  <a:cs typeface="+mn-cs"/>
                                </a:rPr>
                                <m:t>𝑥</m:t>
                              </m:r>
                              <m:r>
                                <a:rPr lang="en-US" sz="2000" b="0" i="1">
                                  <a:solidFill>
                                    <a:schemeClr val="tx1"/>
                                  </a:solidFill>
                                  <a:effectLst/>
                                  <a:latin typeface="Cambria Math" panose="02040503050406030204" pitchFamily="18" charset="0"/>
                                  <a:ea typeface="+mn-ea"/>
                                  <a:cs typeface="+mn-cs"/>
                                </a:rPr>
                                <m:t>)</m:t>
                              </m:r>
                            </m:num>
                            <m:den>
                              <m:r>
                                <a:rPr lang="en-US" sz="2000" b="0" i="1">
                                  <a:solidFill>
                                    <a:schemeClr val="tx1"/>
                                  </a:solidFill>
                                  <a:effectLst/>
                                  <a:latin typeface="Cambria Math" panose="02040503050406030204" pitchFamily="18" charset="0"/>
                                  <a:ea typeface="+mn-ea"/>
                                  <a:cs typeface="+mn-cs"/>
                                </a:rPr>
                                <m:t>12</m:t>
                              </m:r>
                            </m:den>
                          </m:f>
                        </m:sup>
                      </m:sSup>
                    </m:e>
                  </m:nary>
                  <m:r>
                    <a:rPr lang="en-US" sz="2000" b="0" i="1">
                      <a:latin typeface="Cambria Math" panose="02040503050406030204" pitchFamily="18" charset="0"/>
                      <a:ea typeface="Cambria Math" panose="02040503050406030204" pitchFamily="18" charset="0"/>
                    </a:rPr>
                    <m:t>=</m:t>
                  </m:r>
                  <m:f>
                    <m:fPr>
                      <m:ctrlPr>
                        <a:rPr lang="en-US" sz="2000" b="0" i="1">
                          <a:latin typeface="Cambria Math" panose="02040503050406030204" pitchFamily="18" charset="0"/>
                          <a:ea typeface="Cambria Math" panose="02040503050406030204" pitchFamily="18" charset="0"/>
                        </a:rPr>
                      </m:ctrlPr>
                    </m:fPr>
                    <m:num>
                      <m:r>
                        <a:rPr lang="en-US" sz="2000" b="0" i="1">
                          <a:solidFill>
                            <a:schemeClr val="tx1"/>
                          </a:solidFill>
                          <a:effectLst/>
                          <a:latin typeface="Cambria Math" panose="02040503050406030204" pitchFamily="18" charset="0"/>
                          <a:ea typeface="+mn-ea"/>
                          <a:cs typeface="+mn-cs"/>
                        </a:rPr>
                        <m:t>12</m:t>
                      </m:r>
                      <m:sSup>
                        <m:sSupPr>
                          <m:ctrlPr>
                            <a:rPr lang="en-US" sz="2000" b="0" i="1">
                              <a:solidFill>
                                <a:schemeClr val="tx1"/>
                              </a:solidFill>
                              <a:effectLst/>
                              <a:latin typeface="Cambria Math" panose="02040503050406030204" pitchFamily="18" charset="0"/>
                              <a:ea typeface="+mn-ea"/>
                              <a:cs typeface="+mn-cs"/>
                            </a:rPr>
                          </m:ctrlPr>
                        </m:sSupPr>
                        <m:e>
                          <m:r>
                            <a:rPr lang="en-US" sz="2000" b="0" i="1">
                              <a:solidFill>
                                <a:schemeClr val="tx1"/>
                              </a:solidFill>
                              <a:effectLst/>
                              <a:latin typeface="Cambria Math" panose="02040503050406030204" pitchFamily="18" charset="0"/>
                              <a:ea typeface="+mn-ea"/>
                              <a:cs typeface="+mn-cs"/>
                            </a:rPr>
                            <m:t>(1+</m:t>
                          </m:r>
                          <m:r>
                            <a:rPr lang="en-US" sz="2000" b="0" i="1">
                              <a:solidFill>
                                <a:schemeClr val="tx1"/>
                              </a:solidFill>
                              <a:effectLst/>
                              <a:latin typeface="Cambria Math" panose="02040503050406030204" pitchFamily="18" charset="0"/>
                              <a:ea typeface="+mn-ea"/>
                              <a:cs typeface="+mn-cs"/>
                            </a:rPr>
                            <m:t>𝑖</m:t>
                          </m:r>
                          <m:r>
                            <a:rPr lang="en-US" sz="2000" b="0" i="1">
                              <a:solidFill>
                                <a:schemeClr val="tx1"/>
                              </a:solidFill>
                              <a:effectLst/>
                              <a:latin typeface="Cambria Math" panose="02040503050406030204" pitchFamily="18" charset="0"/>
                              <a:ea typeface="+mn-ea"/>
                              <a:cs typeface="+mn-cs"/>
                            </a:rPr>
                            <m:t>)</m:t>
                          </m:r>
                        </m:e>
                        <m:sup>
                          <m:f>
                            <m:fPr>
                              <m:ctrlPr>
                                <a:rPr lang="en-US" sz="2000" b="0" i="1">
                                  <a:solidFill>
                                    <a:schemeClr val="tx1"/>
                                  </a:solidFill>
                                  <a:effectLst/>
                                  <a:latin typeface="Cambria Math" panose="02040503050406030204" pitchFamily="18" charset="0"/>
                                  <a:ea typeface="+mn-ea"/>
                                  <a:cs typeface="+mn-cs"/>
                                </a:rPr>
                              </m:ctrlPr>
                            </m:fPr>
                            <m:num>
                              <m:r>
                                <a:rPr lang="en-US" sz="2000" b="0" i="1">
                                  <a:solidFill>
                                    <a:schemeClr val="tx1"/>
                                  </a:solidFill>
                                  <a:effectLst/>
                                  <a:latin typeface="Cambria Math" panose="02040503050406030204" pitchFamily="18" charset="0"/>
                                  <a:ea typeface="+mn-ea"/>
                                  <a:cs typeface="+mn-cs"/>
                                </a:rPr>
                                <m:t>(</m:t>
                              </m:r>
                              <m:r>
                                <a:rPr lang="en-US" sz="2000" b="0" i="1">
                                  <a:solidFill>
                                    <a:schemeClr val="tx1"/>
                                  </a:solidFill>
                                  <a:effectLst/>
                                  <a:latin typeface="Cambria Math" panose="02040503050406030204" pitchFamily="18" charset="0"/>
                                  <a:ea typeface="+mn-ea"/>
                                  <a:cs typeface="+mn-cs"/>
                                </a:rPr>
                                <m:t>𝑏</m:t>
                              </m:r>
                              <m:r>
                                <a:rPr lang="en-US" sz="2000" b="0" i="1">
                                  <a:solidFill>
                                    <a:schemeClr val="tx1"/>
                                  </a:solidFill>
                                  <a:effectLst/>
                                  <a:latin typeface="Cambria Math" panose="02040503050406030204" pitchFamily="18" charset="0"/>
                                  <a:ea typeface="+mn-ea"/>
                                  <a:cs typeface="+mn-cs"/>
                                </a:rPr>
                                <m:t>)</m:t>
                              </m:r>
                            </m:num>
                            <m:den>
                              <m:r>
                                <a:rPr lang="en-US" sz="2000" b="0" i="1">
                                  <a:solidFill>
                                    <a:schemeClr val="tx1"/>
                                  </a:solidFill>
                                  <a:effectLst/>
                                  <a:latin typeface="Cambria Math" panose="02040503050406030204" pitchFamily="18" charset="0"/>
                                  <a:ea typeface="+mn-ea"/>
                                  <a:cs typeface="+mn-cs"/>
                                </a:rPr>
                                <m:t>12</m:t>
                              </m:r>
                            </m:den>
                          </m:f>
                        </m:sup>
                      </m:sSup>
                    </m:num>
                    <m:den>
                      <m:r>
                        <m:rPr>
                          <m:sty m:val="p"/>
                        </m:rPr>
                        <a:rPr lang="en-US" sz="2000" b="0" i="0">
                          <a:latin typeface="Cambria Math" panose="02040503050406030204" pitchFamily="18" charset="0"/>
                          <a:ea typeface="Cambria Math" panose="02040503050406030204" pitchFamily="18" charset="0"/>
                        </a:rPr>
                        <m:t>ln</m:t>
                      </m:r>
                      <m:r>
                        <a:rPr lang="en-US" sz="2000" b="0" i="1">
                          <a:latin typeface="Cambria Math" panose="02040503050406030204" pitchFamily="18" charset="0"/>
                          <a:ea typeface="Cambria Math" panose="02040503050406030204" pitchFamily="18" charset="0"/>
                        </a:rPr>
                        <m:t>⁡(1+</m:t>
                      </m:r>
                      <m:r>
                        <a:rPr lang="en-US" sz="2000" b="0" i="1">
                          <a:latin typeface="Cambria Math" panose="02040503050406030204" pitchFamily="18" charset="0"/>
                          <a:ea typeface="Cambria Math" panose="02040503050406030204" pitchFamily="18" charset="0"/>
                        </a:rPr>
                        <m:t>𝑖</m:t>
                      </m:r>
                      <m:r>
                        <a:rPr lang="en-US" sz="2000" b="0" i="1">
                          <a:latin typeface="Cambria Math" panose="02040503050406030204" pitchFamily="18" charset="0"/>
                          <a:ea typeface="Cambria Math" panose="02040503050406030204" pitchFamily="18" charset="0"/>
                        </a:rPr>
                        <m:t>)</m:t>
                      </m:r>
                    </m:den>
                  </m:f>
                  <m:r>
                    <a:rPr lang="en-US" sz="2000" b="0" i="1">
                      <a:latin typeface="Cambria Math" panose="02040503050406030204" pitchFamily="18" charset="0"/>
                      <a:ea typeface="Cambria Math" panose="02040503050406030204" pitchFamily="18" charset="0"/>
                    </a:rPr>
                    <m:t> </m:t>
                  </m:r>
                </m:oMath>
              </a14:m>
              <a:r>
                <a:rPr lang="en-US" sz="2000"/>
                <a:t>- </a:t>
              </a:r>
              <a14:m>
                <m:oMath xmlns:m="http://schemas.openxmlformats.org/officeDocument/2006/math">
                  <m:f>
                    <m:fPr>
                      <m:ctrlPr>
                        <a:rPr lang="en-US" sz="2000" b="0" i="1">
                          <a:solidFill>
                            <a:schemeClr val="tx1"/>
                          </a:solidFill>
                          <a:effectLst/>
                          <a:latin typeface="Cambria Math" panose="02040503050406030204" pitchFamily="18" charset="0"/>
                          <a:ea typeface="+mn-ea"/>
                          <a:cs typeface="+mn-cs"/>
                        </a:rPr>
                      </m:ctrlPr>
                    </m:fPr>
                    <m:num>
                      <m:r>
                        <a:rPr lang="en-US" sz="2000" b="0" i="1">
                          <a:solidFill>
                            <a:schemeClr val="tx1"/>
                          </a:solidFill>
                          <a:effectLst/>
                          <a:latin typeface="Cambria Math" panose="02040503050406030204" pitchFamily="18" charset="0"/>
                          <a:ea typeface="+mn-ea"/>
                          <a:cs typeface="+mn-cs"/>
                        </a:rPr>
                        <m:t>12</m:t>
                      </m:r>
                      <m:sSup>
                        <m:sSupPr>
                          <m:ctrlPr>
                            <a:rPr lang="en-US" sz="2000" b="0" i="1">
                              <a:solidFill>
                                <a:schemeClr val="tx1"/>
                              </a:solidFill>
                              <a:effectLst/>
                              <a:latin typeface="Cambria Math" panose="02040503050406030204" pitchFamily="18" charset="0"/>
                              <a:ea typeface="+mn-ea"/>
                              <a:cs typeface="+mn-cs"/>
                            </a:rPr>
                          </m:ctrlPr>
                        </m:sSupPr>
                        <m:e>
                          <m:r>
                            <a:rPr lang="en-US" sz="2000" b="0" i="1">
                              <a:solidFill>
                                <a:schemeClr val="tx1"/>
                              </a:solidFill>
                              <a:effectLst/>
                              <a:latin typeface="Cambria Math" panose="02040503050406030204" pitchFamily="18" charset="0"/>
                              <a:ea typeface="+mn-ea"/>
                              <a:cs typeface="+mn-cs"/>
                            </a:rPr>
                            <m:t>(1+</m:t>
                          </m:r>
                          <m:r>
                            <a:rPr lang="en-US" sz="2000" b="0" i="1">
                              <a:solidFill>
                                <a:schemeClr val="tx1"/>
                              </a:solidFill>
                              <a:effectLst/>
                              <a:latin typeface="Cambria Math" panose="02040503050406030204" pitchFamily="18" charset="0"/>
                              <a:ea typeface="+mn-ea"/>
                              <a:cs typeface="+mn-cs"/>
                            </a:rPr>
                            <m:t>𝑖</m:t>
                          </m:r>
                          <m:r>
                            <a:rPr lang="en-US" sz="2000" b="0" i="1">
                              <a:solidFill>
                                <a:schemeClr val="tx1"/>
                              </a:solidFill>
                              <a:effectLst/>
                              <a:latin typeface="Cambria Math" panose="02040503050406030204" pitchFamily="18" charset="0"/>
                              <a:ea typeface="+mn-ea"/>
                              <a:cs typeface="+mn-cs"/>
                            </a:rPr>
                            <m:t>)</m:t>
                          </m:r>
                        </m:e>
                        <m:sup>
                          <m:f>
                            <m:fPr>
                              <m:ctrlPr>
                                <a:rPr lang="en-US" sz="2000" b="0" i="1">
                                  <a:solidFill>
                                    <a:schemeClr val="tx1"/>
                                  </a:solidFill>
                                  <a:effectLst/>
                                  <a:latin typeface="Cambria Math" panose="02040503050406030204" pitchFamily="18" charset="0"/>
                                  <a:ea typeface="+mn-ea"/>
                                  <a:cs typeface="+mn-cs"/>
                                </a:rPr>
                              </m:ctrlPr>
                            </m:fPr>
                            <m:num>
                              <m:r>
                                <a:rPr lang="en-US" sz="2000" b="0" i="1">
                                  <a:solidFill>
                                    <a:schemeClr val="tx1"/>
                                  </a:solidFill>
                                  <a:effectLst/>
                                  <a:latin typeface="Cambria Math" panose="02040503050406030204" pitchFamily="18" charset="0"/>
                                  <a:ea typeface="+mn-ea"/>
                                  <a:cs typeface="+mn-cs"/>
                                </a:rPr>
                                <m:t>(</m:t>
                              </m:r>
                              <m:r>
                                <a:rPr lang="en-US" sz="2000" b="0" i="1">
                                  <a:solidFill>
                                    <a:schemeClr val="tx1"/>
                                  </a:solidFill>
                                  <a:effectLst/>
                                  <a:latin typeface="Cambria Math" panose="02040503050406030204" pitchFamily="18" charset="0"/>
                                  <a:ea typeface="+mn-ea"/>
                                  <a:cs typeface="+mn-cs"/>
                                </a:rPr>
                                <m:t>𝑎</m:t>
                              </m:r>
                              <m:r>
                                <a:rPr lang="en-US" sz="2000" b="0" i="1">
                                  <a:solidFill>
                                    <a:schemeClr val="tx1"/>
                                  </a:solidFill>
                                  <a:effectLst/>
                                  <a:latin typeface="Cambria Math" panose="02040503050406030204" pitchFamily="18" charset="0"/>
                                  <a:ea typeface="+mn-ea"/>
                                  <a:cs typeface="+mn-cs"/>
                                </a:rPr>
                                <m:t>)</m:t>
                              </m:r>
                            </m:num>
                            <m:den>
                              <m:r>
                                <a:rPr lang="en-US" sz="2000" b="0" i="1">
                                  <a:solidFill>
                                    <a:schemeClr val="tx1"/>
                                  </a:solidFill>
                                  <a:effectLst/>
                                  <a:latin typeface="Cambria Math" panose="02040503050406030204" pitchFamily="18" charset="0"/>
                                  <a:ea typeface="+mn-ea"/>
                                  <a:cs typeface="+mn-cs"/>
                                </a:rPr>
                                <m:t>12</m:t>
                              </m:r>
                            </m:den>
                          </m:f>
                        </m:sup>
                      </m:sSup>
                    </m:num>
                    <m:den>
                      <m:r>
                        <m:rPr>
                          <m:sty m:val="p"/>
                        </m:rPr>
                        <a:rPr lang="en-US" sz="2000" b="0" i="0">
                          <a:solidFill>
                            <a:schemeClr val="tx1"/>
                          </a:solidFill>
                          <a:effectLst/>
                          <a:latin typeface="Cambria Math" panose="02040503050406030204" pitchFamily="18" charset="0"/>
                          <a:ea typeface="+mn-ea"/>
                          <a:cs typeface="+mn-cs"/>
                        </a:rPr>
                        <m:t>ln</m:t>
                      </m:r>
                      <m:r>
                        <a:rPr lang="en-US" sz="2000" b="0" i="1">
                          <a:solidFill>
                            <a:schemeClr val="tx1"/>
                          </a:solidFill>
                          <a:effectLst/>
                          <a:latin typeface="Cambria Math" panose="02040503050406030204" pitchFamily="18" charset="0"/>
                          <a:ea typeface="+mn-ea"/>
                          <a:cs typeface="+mn-cs"/>
                        </a:rPr>
                        <m:t>(1+</m:t>
                      </m:r>
                      <m:r>
                        <a:rPr lang="en-US" sz="2000" b="0" i="1">
                          <a:solidFill>
                            <a:schemeClr val="tx1"/>
                          </a:solidFill>
                          <a:effectLst/>
                          <a:latin typeface="Cambria Math" panose="02040503050406030204" pitchFamily="18" charset="0"/>
                          <a:ea typeface="+mn-ea"/>
                          <a:cs typeface="+mn-cs"/>
                        </a:rPr>
                        <m:t>𝑖</m:t>
                      </m:r>
                      <m:r>
                        <a:rPr lang="en-US" sz="2000" b="0" i="1">
                          <a:solidFill>
                            <a:schemeClr val="tx1"/>
                          </a:solidFill>
                          <a:effectLst/>
                          <a:latin typeface="Cambria Math" panose="02040503050406030204" pitchFamily="18" charset="0"/>
                          <a:ea typeface="+mn-ea"/>
                          <a:cs typeface="+mn-cs"/>
                        </a:rPr>
                        <m:t>)</m:t>
                      </m:r>
                    </m:den>
                  </m:f>
                </m:oMath>
              </a14:m>
              <a:endParaRPr lang="en-US" sz="2000"/>
            </a:p>
          </xdr:txBody>
        </xdr:sp>
      </mc:Choice>
      <mc:Fallback xmlns="">
        <xdr:sp macro="" textlink="">
          <xdr:nvSpPr>
            <xdr:cNvPr id="6" name="TextBox 5">
              <a:extLst>
                <a:ext uri="{FF2B5EF4-FFF2-40B4-BE49-F238E27FC236}">
                  <a16:creationId xmlns:a16="http://schemas.microsoft.com/office/drawing/2014/main" id="{8FC2BC5F-6689-E8B4-6665-5E1611E69849}"/>
                </a:ext>
              </a:extLst>
            </xdr:cNvPr>
            <xdr:cNvSpPr txBox="1"/>
          </xdr:nvSpPr>
          <xdr:spPr>
            <a:xfrm>
              <a:off x="1893094" y="2185986"/>
              <a:ext cx="3929063" cy="65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000" b="0" i="0">
                  <a:latin typeface="Cambria Math" panose="02040503050406030204" pitchFamily="18" charset="0"/>
                </a:rPr>
                <a:t>∫_𝑎^𝑏</a:t>
              </a:r>
              <a:r>
                <a:rPr lang="en-US" sz="2000" b="0" i="0">
                  <a:solidFill>
                    <a:schemeClr val="tx1"/>
                  </a:solidFill>
                  <a:effectLst/>
                  <a:latin typeface="Cambria Math" panose="02040503050406030204" pitchFamily="18" charset="0"/>
                  <a:ea typeface="+mn-ea"/>
                  <a:cs typeface="+mn-cs"/>
                </a:rPr>
                <a:t>▒〖(1+𝑖)〗^(((𝑥))/12) </a:t>
              </a:r>
              <a:r>
                <a:rPr lang="en-US" sz="2000" b="0" i="0">
                  <a:latin typeface="Cambria Math" panose="02040503050406030204" pitchFamily="18" charset="0"/>
                  <a:ea typeface="Cambria Math" panose="02040503050406030204" pitchFamily="18" charset="0"/>
                </a:rPr>
                <a:t>=(</a:t>
              </a:r>
              <a:r>
                <a:rPr lang="en-US" sz="2000" b="0" i="0">
                  <a:solidFill>
                    <a:schemeClr val="tx1"/>
                  </a:solidFill>
                  <a:effectLst/>
                  <a:latin typeface="Cambria Math" panose="02040503050406030204" pitchFamily="18" charset="0"/>
                  <a:ea typeface="+mn-ea"/>
                  <a:cs typeface="+mn-cs"/>
                </a:rPr>
                <a:t>12〖(1+𝑖)〗^(((𝑏))/12)</a:t>
              </a:r>
              <a:r>
                <a:rPr lang="en-US" sz="2000" b="0" i="0">
                  <a:solidFill>
                    <a:schemeClr val="tx1"/>
                  </a:solidFill>
                  <a:effectLst/>
                  <a:latin typeface="Cambria Math" panose="02040503050406030204" pitchFamily="18" charset="0"/>
                  <a:ea typeface="Cambria Math" panose="02040503050406030204" pitchFamily="18" charset="0"/>
                  <a:cs typeface="+mn-cs"/>
                </a:rPr>
                <a:t>)/(</a:t>
              </a:r>
              <a:r>
                <a:rPr lang="en-US" sz="2000" b="0" i="0">
                  <a:latin typeface="Cambria Math" panose="02040503050406030204" pitchFamily="18" charset="0"/>
                  <a:ea typeface="Cambria Math" panose="02040503050406030204" pitchFamily="18" charset="0"/>
                </a:rPr>
                <a:t>ln⁡(1+𝑖))  </a:t>
              </a:r>
              <a:r>
                <a:rPr lang="en-US" sz="2000"/>
                <a:t>- </a:t>
              </a:r>
              <a:r>
                <a:rPr lang="en-US" sz="2000" b="0" i="0">
                  <a:solidFill>
                    <a:schemeClr val="tx1"/>
                  </a:solidFill>
                  <a:effectLst/>
                  <a:latin typeface="Cambria Math" panose="02040503050406030204" pitchFamily="18" charset="0"/>
                  <a:ea typeface="+mn-ea"/>
                  <a:cs typeface="+mn-cs"/>
                </a:rPr>
                <a:t>(12〖(1+𝑖)〗^(((𝑎))/12))/(ln(1+𝑖))</a:t>
              </a:r>
              <a:endParaRPr lang="en-US" sz="2000"/>
            </a:p>
          </xdr:txBody>
        </xdr:sp>
      </mc:Fallback>
    </mc:AlternateContent>
    <xdr:clientData/>
  </xdr:oneCellAnchor>
  <xdr:twoCellAnchor>
    <xdr:from>
      <xdr:col>1</xdr:col>
      <xdr:colOff>589360</xdr:colOff>
      <xdr:row>15</xdr:row>
      <xdr:rowOff>188117</xdr:rowOff>
    </xdr:from>
    <xdr:to>
      <xdr:col>8</xdr:col>
      <xdr:colOff>472028</xdr:colOff>
      <xdr:row>35</xdr:row>
      <xdr:rowOff>35717</xdr:rowOff>
    </xdr:to>
    <xdr:graphicFrame macro="">
      <xdr:nvGraphicFramePr>
        <xdr:cNvPr id="8" name="Chart 7">
          <a:extLst>
            <a:ext uri="{FF2B5EF4-FFF2-40B4-BE49-F238E27FC236}">
              <a16:creationId xmlns:a16="http://schemas.microsoft.com/office/drawing/2014/main" id="{2C79CC46-64A5-796E-03A0-AE8E395D50D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342900</xdr:colOff>
      <xdr:row>29</xdr:row>
      <xdr:rowOff>95250</xdr:rowOff>
    </xdr:from>
    <xdr:ext cx="266291" cy="264560"/>
    <xdr:sp macro="" textlink="">
      <xdr:nvSpPr>
        <xdr:cNvPr id="2" name="TextBox 1">
          <a:extLst>
            <a:ext uri="{FF2B5EF4-FFF2-40B4-BE49-F238E27FC236}">
              <a16:creationId xmlns:a16="http://schemas.microsoft.com/office/drawing/2014/main" id="{4C453563-E111-931A-D6BB-82627F6A02DE}"/>
            </a:ext>
          </a:extLst>
        </xdr:cNvPr>
        <xdr:cNvSpPr txBox="1"/>
      </xdr:nvSpPr>
      <xdr:spPr>
        <a:xfrm>
          <a:off x="2924175" y="6429375"/>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A</a:t>
          </a:r>
        </a:p>
      </xdr:txBody>
    </xdr:sp>
    <xdr:clientData/>
  </xdr:oneCellAnchor>
  <xdr:oneCellAnchor>
    <xdr:from>
      <xdr:col>5</xdr:col>
      <xdr:colOff>209550</xdr:colOff>
      <xdr:row>28</xdr:row>
      <xdr:rowOff>0</xdr:rowOff>
    </xdr:from>
    <xdr:ext cx="266291" cy="264560"/>
    <xdr:sp macro="" textlink="">
      <xdr:nvSpPr>
        <xdr:cNvPr id="3" name="TextBox 2">
          <a:extLst>
            <a:ext uri="{FF2B5EF4-FFF2-40B4-BE49-F238E27FC236}">
              <a16:creationId xmlns:a16="http://schemas.microsoft.com/office/drawing/2014/main" id="{CBA05125-2E11-4480-94C8-8349AE6F854C}"/>
            </a:ext>
          </a:extLst>
        </xdr:cNvPr>
        <xdr:cNvSpPr txBox="1"/>
      </xdr:nvSpPr>
      <xdr:spPr>
        <a:xfrm>
          <a:off x="4238625" y="6143625"/>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B</a:t>
          </a:r>
        </a:p>
      </xdr:txBody>
    </xdr:sp>
    <xdr:clientData/>
  </xdr:oneCellAnchor>
  <xdr:oneCellAnchor>
    <xdr:from>
      <xdr:col>5</xdr:col>
      <xdr:colOff>504825</xdr:colOff>
      <xdr:row>23</xdr:row>
      <xdr:rowOff>28575</xdr:rowOff>
    </xdr:from>
    <xdr:ext cx="266291" cy="264560"/>
    <xdr:sp macro="" textlink="">
      <xdr:nvSpPr>
        <xdr:cNvPr id="4" name="TextBox 3">
          <a:extLst>
            <a:ext uri="{FF2B5EF4-FFF2-40B4-BE49-F238E27FC236}">
              <a16:creationId xmlns:a16="http://schemas.microsoft.com/office/drawing/2014/main" id="{4236EF19-12D0-4A8F-9EEE-1309C7F1F867}"/>
            </a:ext>
          </a:extLst>
        </xdr:cNvPr>
        <xdr:cNvSpPr txBox="1"/>
      </xdr:nvSpPr>
      <xdr:spPr>
        <a:xfrm>
          <a:off x="4533900" y="5219700"/>
          <a:ext cx="2662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t>
          </a:r>
        </a:p>
      </xdr:txBody>
    </xdr:sp>
    <xdr:clientData/>
  </xdr:oneCellAnchor>
  <xdr:oneCellAnchor>
    <xdr:from>
      <xdr:col>2</xdr:col>
      <xdr:colOff>466725</xdr:colOff>
      <xdr:row>26</xdr:row>
      <xdr:rowOff>123825</xdr:rowOff>
    </xdr:from>
    <xdr:ext cx="271485" cy="264560"/>
    <xdr:sp macro="" textlink="">
      <xdr:nvSpPr>
        <xdr:cNvPr id="5" name="TextBox 4">
          <a:extLst>
            <a:ext uri="{FF2B5EF4-FFF2-40B4-BE49-F238E27FC236}">
              <a16:creationId xmlns:a16="http://schemas.microsoft.com/office/drawing/2014/main" id="{99DD1A99-1674-424B-B069-DC3F1D30A8B5}"/>
            </a:ext>
          </a:extLst>
        </xdr:cNvPr>
        <xdr:cNvSpPr txBox="1"/>
      </xdr:nvSpPr>
      <xdr:spPr>
        <a:xfrm>
          <a:off x="2438400" y="5886450"/>
          <a:ext cx="2714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
          </a:r>
        </a:p>
      </xdr:txBody>
    </xdr:sp>
    <xdr:clientData/>
  </xdr:oneCellAnchor>
  <xdr:oneCellAnchor>
    <xdr:from>
      <xdr:col>3</xdr:col>
      <xdr:colOff>209550</xdr:colOff>
      <xdr:row>32</xdr:row>
      <xdr:rowOff>171450</xdr:rowOff>
    </xdr:from>
    <xdr:ext cx="297325" cy="264560"/>
    <xdr:sp macro="" textlink="">
      <xdr:nvSpPr>
        <xdr:cNvPr id="7" name="TextBox 6">
          <a:extLst>
            <a:ext uri="{FF2B5EF4-FFF2-40B4-BE49-F238E27FC236}">
              <a16:creationId xmlns:a16="http://schemas.microsoft.com/office/drawing/2014/main" id="{A293412B-0171-28D3-68B5-CEF6E2BE541D}"/>
            </a:ext>
          </a:extLst>
        </xdr:cNvPr>
        <xdr:cNvSpPr txBox="1"/>
      </xdr:nvSpPr>
      <xdr:spPr>
        <a:xfrm>
          <a:off x="2790825" y="7077075"/>
          <a:ext cx="2973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m</a:t>
          </a:r>
        </a:p>
      </xdr:txBody>
    </xdr:sp>
    <xdr:clientData/>
  </xdr:oneCellAnchor>
  <xdr:oneCellAnchor>
    <xdr:from>
      <xdr:col>5</xdr:col>
      <xdr:colOff>333375</xdr:colOff>
      <xdr:row>32</xdr:row>
      <xdr:rowOff>133350</xdr:rowOff>
    </xdr:from>
    <xdr:ext cx="258789" cy="264560"/>
    <xdr:sp macro="" textlink="">
      <xdr:nvSpPr>
        <xdr:cNvPr id="9" name="TextBox 8">
          <a:extLst>
            <a:ext uri="{FF2B5EF4-FFF2-40B4-BE49-F238E27FC236}">
              <a16:creationId xmlns:a16="http://schemas.microsoft.com/office/drawing/2014/main" id="{54040940-8B44-495D-BA9D-DFF966736CE8}"/>
            </a:ext>
          </a:extLst>
        </xdr:cNvPr>
        <xdr:cNvSpPr txBox="1"/>
      </xdr:nvSpPr>
      <xdr:spPr>
        <a:xfrm>
          <a:off x="4133850" y="70389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n</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34tdd\Downloads\2-1-17-4a-salary-rate-calc-form-2023%20(2).xlsx" TargetMode="External"/><Relationship Id="rId1" Type="http://schemas.openxmlformats.org/officeDocument/2006/relationships/externalLinkPath" Target="/Users/n34tdd/Downloads/2-1-17-4a-salary-rate-calc-form-20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sheetName val=" Salary_Rate_Table_NO_Cap"/>
      <sheetName val="Salary_Rate_Table_WITH_Cap"/>
      <sheetName val="Salary Rate Calc."/>
      <sheetName val="Specific Rates of Pay"/>
    </sheetNames>
    <sheetDataSet>
      <sheetData sheetId="0"/>
      <sheetData sheetId="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1A77B-ECEB-42CE-8015-8021D2941BAB}">
  <dimension ref="B1:J90"/>
  <sheetViews>
    <sheetView showWhiteSpace="0" view="pageLayout" topLeftCell="A9" zoomScale="130" zoomScaleNormal="100" zoomScalePageLayoutView="130" workbookViewId="0">
      <selection activeCell="C9" sqref="C9:J9"/>
    </sheetView>
  </sheetViews>
  <sheetFormatPr defaultRowHeight="15" x14ac:dyDescent="0.25"/>
  <cols>
    <col min="1" max="1" width="2" customWidth="1"/>
    <col min="2" max="2" width="4.140625" customWidth="1"/>
    <col min="8" max="8" width="9.28515625" customWidth="1"/>
    <col min="9" max="9" width="10.5703125" customWidth="1"/>
    <col min="10" max="10" width="19" customWidth="1"/>
  </cols>
  <sheetData>
    <row r="1" spans="2:10" ht="18.75" x14ac:dyDescent="0.3">
      <c r="B1" s="179" t="s">
        <v>78</v>
      </c>
      <c r="C1" s="179"/>
      <c r="D1" s="179"/>
      <c r="E1" s="179"/>
      <c r="F1" s="179"/>
      <c r="G1" s="179"/>
      <c r="H1" s="179"/>
      <c r="I1" s="179"/>
      <c r="J1" s="179"/>
    </row>
    <row r="2" spans="2:10" x14ac:dyDescent="0.25">
      <c r="B2" t="s">
        <v>131</v>
      </c>
      <c r="J2" t="s">
        <v>130</v>
      </c>
    </row>
    <row r="4" spans="2:10" x14ac:dyDescent="0.25">
      <c r="B4" s="93" t="s">
        <v>79</v>
      </c>
    </row>
    <row r="5" spans="2:10" ht="28.5" customHeight="1" x14ac:dyDescent="0.25">
      <c r="B5" s="93"/>
      <c r="C5" s="180" t="s">
        <v>80</v>
      </c>
      <c r="D5" s="180"/>
      <c r="E5" s="180"/>
      <c r="F5" s="180"/>
      <c r="G5" s="180"/>
      <c r="H5" s="180"/>
      <c r="I5" s="180"/>
      <c r="J5" s="180"/>
    </row>
    <row r="6" spans="2:10" ht="5.25" customHeight="1" x14ac:dyDescent="0.25">
      <c r="B6" s="93"/>
      <c r="C6" s="94"/>
      <c r="D6" s="94"/>
      <c r="E6" s="94"/>
      <c r="F6" s="94"/>
      <c r="G6" s="94"/>
      <c r="H6" s="94"/>
      <c r="I6" s="94"/>
      <c r="J6" s="94"/>
    </row>
    <row r="7" spans="2:10" ht="28.5" customHeight="1" x14ac:dyDescent="0.25">
      <c r="B7" s="93"/>
      <c r="C7" s="180" t="s">
        <v>132</v>
      </c>
      <c r="D7" s="180"/>
      <c r="E7" s="180"/>
      <c r="F7" s="180"/>
      <c r="G7" s="180"/>
      <c r="H7" s="180"/>
      <c r="I7" s="180"/>
      <c r="J7" s="180"/>
    </row>
    <row r="8" spans="2:10" ht="6" customHeight="1" x14ac:dyDescent="0.25">
      <c r="B8" s="93"/>
    </row>
    <row r="9" spans="2:10" ht="90.75" customHeight="1" x14ac:dyDescent="0.25">
      <c r="C9" s="178" t="s">
        <v>133</v>
      </c>
      <c r="D9" s="178"/>
      <c r="E9" s="178"/>
      <c r="F9" s="178"/>
      <c r="G9" s="178"/>
      <c r="H9" s="178"/>
      <c r="I9" s="178"/>
      <c r="J9" s="178"/>
    </row>
    <row r="10" spans="2:10" ht="7.5" customHeight="1" x14ac:dyDescent="0.25">
      <c r="C10" s="94"/>
      <c r="D10" s="94"/>
      <c r="E10" s="94"/>
      <c r="F10" s="94"/>
      <c r="G10" s="94"/>
      <c r="H10" s="94"/>
      <c r="I10" s="94"/>
      <c r="J10" s="94"/>
    </row>
    <row r="11" spans="2:10" ht="33.75" customHeight="1" x14ac:dyDescent="0.25">
      <c r="C11" s="181" t="s">
        <v>81</v>
      </c>
      <c r="D11" s="181"/>
      <c r="E11" s="181"/>
      <c r="F11" s="181"/>
      <c r="G11" s="181"/>
      <c r="H11" s="181"/>
      <c r="I11" s="181"/>
      <c r="J11" s="181"/>
    </row>
    <row r="12" spans="2:10" ht="6.75" customHeight="1" x14ac:dyDescent="0.25"/>
    <row r="13" spans="2:10" ht="15" customHeight="1" x14ac:dyDescent="0.25">
      <c r="C13" s="181" t="s">
        <v>82</v>
      </c>
      <c r="D13" s="181"/>
      <c r="E13" s="181"/>
      <c r="F13" s="181"/>
      <c r="G13" s="181"/>
      <c r="H13" s="181"/>
      <c r="I13" s="181"/>
      <c r="J13" s="181"/>
    </row>
    <row r="14" spans="2:10" ht="7.5" customHeight="1" x14ac:dyDescent="0.25">
      <c r="C14" s="37"/>
      <c r="D14" s="37"/>
      <c r="E14" s="37"/>
      <c r="F14" s="37"/>
      <c r="G14" s="37"/>
      <c r="H14" s="37"/>
      <c r="I14" s="37"/>
      <c r="J14" s="37"/>
    </row>
    <row r="15" spans="2:10" ht="32.25" customHeight="1" x14ac:dyDescent="0.25">
      <c r="C15" s="182" t="s">
        <v>83</v>
      </c>
      <c r="D15" s="182"/>
      <c r="E15" s="182"/>
      <c r="F15" s="182"/>
      <c r="G15" s="182"/>
      <c r="H15" s="182"/>
      <c r="I15" s="182"/>
      <c r="J15" s="182"/>
    </row>
    <row r="16" spans="2:10" ht="6.75" customHeight="1" x14ac:dyDescent="0.25"/>
    <row r="17" spans="2:10" ht="48" customHeight="1" x14ac:dyDescent="0.25">
      <c r="C17" s="182" t="s">
        <v>84</v>
      </c>
      <c r="D17" s="182"/>
      <c r="E17" s="182"/>
      <c r="F17" s="182"/>
      <c r="G17" s="182"/>
      <c r="H17" s="182"/>
      <c r="I17" s="182"/>
      <c r="J17" s="182"/>
    </row>
    <row r="18" spans="2:10" ht="7.5" customHeight="1" x14ac:dyDescent="0.25"/>
    <row r="19" spans="2:10" x14ac:dyDescent="0.25">
      <c r="C19" t="s">
        <v>111</v>
      </c>
    </row>
    <row r="20" spans="2:10" ht="6.75" customHeight="1" x14ac:dyDescent="0.25"/>
    <row r="21" spans="2:10" ht="48" customHeight="1" x14ac:dyDescent="0.25">
      <c r="C21" s="183" t="s">
        <v>112</v>
      </c>
      <c r="D21" s="180"/>
      <c r="E21" s="180"/>
      <c r="F21" s="180"/>
      <c r="G21" s="180"/>
      <c r="H21" s="180"/>
      <c r="I21" s="180"/>
      <c r="J21" s="180"/>
    </row>
    <row r="22" spans="2:10" ht="6.75" customHeight="1" x14ac:dyDescent="0.25"/>
    <row r="23" spans="2:10" ht="30" customHeight="1" x14ac:dyDescent="0.25">
      <c r="C23" s="182" t="s">
        <v>85</v>
      </c>
      <c r="D23" s="182"/>
      <c r="E23" s="182"/>
      <c r="F23" s="182"/>
      <c r="G23" s="182"/>
      <c r="H23" s="182"/>
      <c r="I23" s="182"/>
      <c r="J23" s="182"/>
    </row>
    <row r="24" spans="2:10" ht="7.5" customHeight="1" x14ac:dyDescent="0.25">
      <c r="C24" s="96"/>
      <c r="D24" s="96"/>
      <c r="E24" s="96"/>
      <c r="F24" s="96"/>
      <c r="G24" s="96"/>
      <c r="H24" s="96"/>
      <c r="I24" s="96"/>
      <c r="J24" s="96"/>
    </row>
    <row r="25" spans="2:10" ht="67.5" customHeight="1" x14ac:dyDescent="0.25">
      <c r="C25" s="180" t="s">
        <v>86</v>
      </c>
      <c r="D25" s="180"/>
      <c r="E25" s="180"/>
      <c r="F25" s="180"/>
      <c r="G25" s="180"/>
      <c r="H25" s="180"/>
      <c r="I25" s="180"/>
      <c r="J25" s="180"/>
    </row>
    <row r="26" spans="2:10" ht="9.75" customHeight="1" x14ac:dyDescent="0.25">
      <c r="C26" s="94"/>
      <c r="D26" s="94"/>
      <c r="E26" s="94"/>
      <c r="F26" s="94"/>
      <c r="G26" s="94"/>
      <c r="H26" s="94"/>
      <c r="I26" s="94"/>
      <c r="J26" s="94"/>
    </row>
    <row r="27" spans="2:10" ht="95.25" customHeight="1" x14ac:dyDescent="0.25">
      <c r="C27" s="178" t="s">
        <v>87</v>
      </c>
      <c r="D27" s="178"/>
      <c r="E27" s="178"/>
      <c r="F27" s="178"/>
      <c r="G27" s="178"/>
      <c r="H27" s="178"/>
      <c r="I27" s="178"/>
      <c r="J27" s="178"/>
    </row>
    <row r="28" spans="2:10" ht="9.75" customHeight="1" x14ac:dyDescent="0.25">
      <c r="C28" s="94"/>
      <c r="D28" s="94"/>
      <c r="E28" s="94"/>
      <c r="F28" s="94"/>
      <c r="G28" s="94"/>
      <c r="H28" s="94"/>
      <c r="I28" s="94"/>
      <c r="J28" s="94"/>
    </row>
    <row r="29" spans="2:10" ht="18.75" x14ac:dyDescent="0.3">
      <c r="B29" s="179" t="s">
        <v>78</v>
      </c>
      <c r="C29" s="179"/>
      <c r="D29" s="179"/>
      <c r="E29" s="179"/>
      <c r="F29" s="179"/>
      <c r="G29" s="179"/>
      <c r="H29" s="179"/>
      <c r="I29" s="179"/>
      <c r="J29" s="179"/>
    </row>
    <row r="30" spans="2:10" x14ac:dyDescent="0.25">
      <c r="B30" t="s">
        <v>134</v>
      </c>
      <c r="J30" t="str">
        <f>$J$2</f>
        <v>Rev. 12-29-2023</v>
      </c>
    </row>
    <row r="31" spans="2:10" ht="9.75" customHeight="1" x14ac:dyDescent="0.25">
      <c r="C31" s="94"/>
      <c r="D31" s="94"/>
      <c r="E31" s="94"/>
      <c r="F31" s="94"/>
      <c r="G31" s="94"/>
      <c r="H31" s="94"/>
      <c r="I31" s="94"/>
      <c r="J31" s="94"/>
    </row>
    <row r="32" spans="2:10" x14ac:dyDescent="0.25">
      <c r="B32" s="93" t="s">
        <v>88</v>
      </c>
    </row>
    <row r="33" spans="3:10" ht="50.25" customHeight="1" x14ac:dyDescent="0.25">
      <c r="C33" s="184" t="s">
        <v>135</v>
      </c>
      <c r="D33" s="184"/>
      <c r="E33" s="184"/>
      <c r="F33" s="184"/>
      <c r="G33" s="184"/>
      <c r="H33" s="184"/>
      <c r="I33" s="184"/>
      <c r="J33" s="184"/>
    </row>
    <row r="34" spans="3:10" ht="6.75" customHeight="1" x14ac:dyDescent="0.25"/>
    <row r="35" spans="3:10" ht="46.5" customHeight="1" x14ac:dyDescent="0.25">
      <c r="C35" s="181" t="s">
        <v>136</v>
      </c>
      <c r="D35" s="181"/>
      <c r="E35" s="181"/>
      <c r="F35" s="181"/>
      <c r="G35" s="181"/>
      <c r="H35" s="181"/>
      <c r="I35" s="181"/>
      <c r="J35" s="181"/>
    </row>
    <row r="36" spans="3:10" ht="6.75" customHeight="1" x14ac:dyDescent="0.25"/>
    <row r="37" spans="3:10" ht="45.75" customHeight="1" x14ac:dyDescent="0.25">
      <c r="C37" s="181" t="s">
        <v>89</v>
      </c>
      <c r="D37" s="181"/>
      <c r="E37" s="181"/>
      <c r="F37" s="181"/>
      <c r="G37" s="181"/>
      <c r="H37" s="181"/>
      <c r="I37" s="181"/>
      <c r="J37" s="181"/>
    </row>
    <row r="38" spans="3:10" ht="7.5" customHeight="1" x14ac:dyDescent="0.25"/>
    <row r="39" spans="3:10" ht="33.75" customHeight="1" x14ac:dyDescent="0.25">
      <c r="C39" s="180" t="s">
        <v>90</v>
      </c>
      <c r="D39" s="180"/>
      <c r="E39" s="180"/>
      <c r="F39" s="180"/>
      <c r="G39" s="180"/>
      <c r="H39" s="180"/>
      <c r="I39" s="180"/>
      <c r="J39" s="180"/>
    </row>
    <row r="40" spans="3:10" ht="8.25" customHeight="1" x14ac:dyDescent="0.25">
      <c r="D40" s="97"/>
      <c r="E40" s="97"/>
      <c r="F40" s="97"/>
      <c r="G40" s="97"/>
      <c r="H40" s="97"/>
      <c r="I40" s="97"/>
      <c r="J40" s="97"/>
    </row>
    <row r="41" spans="3:10" ht="76.5" customHeight="1" x14ac:dyDescent="0.25">
      <c r="C41" s="180" t="s">
        <v>115</v>
      </c>
      <c r="D41" s="180"/>
      <c r="E41" s="180"/>
      <c r="F41" s="180"/>
      <c r="G41" s="180"/>
      <c r="H41" s="180"/>
      <c r="I41" s="180"/>
      <c r="J41" s="180"/>
    </row>
    <row r="42" spans="3:10" ht="8.25" customHeight="1" x14ac:dyDescent="0.25">
      <c r="C42" s="95"/>
      <c r="D42" s="95"/>
      <c r="E42" s="95"/>
      <c r="F42" s="95"/>
      <c r="G42" s="95"/>
      <c r="H42" s="95"/>
      <c r="I42" s="95"/>
      <c r="J42" s="95"/>
    </row>
    <row r="43" spans="3:10" ht="33" customHeight="1" x14ac:dyDescent="0.25">
      <c r="C43" s="180" t="s">
        <v>114</v>
      </c>
      <c r="D43" s="180"/>
      <c r="E43" s="180"/>
      <c r="F43" s="180"/>
      <c r="G43" s="180"/>
      <c r="H43" s="180"/>
      <c r="I43" s="180"/>
      <c r="J43" s="180"/>
    </row>
    <row r="44" spans="3:10" ht="9" customHeight="1" x14ac:dyDescent="0.25">
      <c r="C44" s="95"/>
      <c r="D44" s="95"/>
      <c r="E44" s="95"/>
      <c r="F44" s="95"/>
      <c r="G44" s="95"/>
      <c r="H44" s="95"/>
      <c r="I44" s="95"/>
      <c r="J44" s="95"/>
    </row>
    <row r="45" spans="3:10" ht="31.5" customHeight="1" x14ac:dyDescent="0.25">
      <c r="C45" s="180" t="s">
        <v>91</v>
      </c>
      <c r="D45" s="180"/>
      <c r="E45" s="180"/>
      <c r="F45" s="180"/>
      <c r="G45" s="180"/>
      <c r="H45" s="180"/>
      <c r="I45" s="180"/>
      <c r="J45" s="180"/>
    </row>
    <row r="47" spans="3:10" ht="33.75" customHeight="1" x14ac:dyDescent="0.25">
      <c r="C47" s="180" t="s">
        <v>92</v>
      </c>
      <c r="D47" s="180"/>
      <c r="E47" s="180"/>
      <c r="F47" s="180"/>
      <c r="G47" s="180"/>
      <c r="H47" s="180"/>
      <c r="I47" s="180"/>
      <c r="J47" s="180"/>
    </row>
    <row r="49" spans="2:10" x14ac:dyDescent="0.25">
      <c r="B49" s="98"/>
      <c r="C49" s="99"/>
      <c r="D49" s="99"/>
      <c r="E49" s="99"/>
      <c r="F49" s="99"/>
      <c r="G49" s="99"/>
      <c r="H49" s="99"/>
      <c r="I49" s="99"/>
      <c r="J49" s="99"/>
    </row>
    <row r="50" spans="2:10" x14ac:dyDescent="0.25">
      <c r="B50" s="99"/>
      <c r="C50" s="99"/>
      <c r="D50" s="99"/>
      <c r="E50" s="99"/>
      <c r="F50" s="99"/>
      <c r="G50" s="99"/>
      <c r="H50" s="99"/>
      <c r="I50" s="99"/>
      <c r="J50" s="99"/>
    </row>
    <row r="51" spans="2:10" ht="9.75" customHeight="1" x14ac:dyDescent="0.25">
      <c r="B51" s="99"/>
      <c r="C51" s="99"/>
      <c r="D51" s="99"/>
      <c r="E51" s="99"/>
      <c r="F51" s="99"/>
      <c r="G51" s="99"/>
      <c r="H51" s="99"/>
      <c r="I51" s="99"/>
      <c r="J51" s="99"/>
    </row>
    <row r="52" spans="2:10" ht="14.25" customHeight="1" x14ac:dyDescent="0.25">
      <c r="B52" s="99"/>
      <c r="C52" s="185"/>
      <c r="D52" s="185"/>
      <c r="E52" s="185"/>
      <c r="F52" s="185"/>
      <c r="G52" s="185"/>
      <c r="H52" s="185"/>
      <c r="I52" s="185"/>
      <c r="J52" s="185"/>
    </row>
    <row r="53" spans="2:10" ht="9" customHeight="1" x14ac:dyDescent="0.25">
      <c r="B53" s="99"/>
      <c r="C53" s="99"/>
      <c r="D53" s="99"/>
      <c r="E53" s="99"/>
      <c r="F53" s="99"/>
      <c r="G53" s="99"/>
      <c r="H53" s="99"/>
      <c r="I53" s="99"/>
      <c r="J53" s="99"/>
    </row>
    <row r="54" spans="2:10" ht="17.25" customHeight="1" x14ac:dyDescent="0.25">
      <c r="B54" s="99"/>
      <c r="C54" s="186"/>
      <c r="D54" s="186"/>
      <c r="E54" s="186"/>
      <c r="F54" s="186"/>
      <c r="G54" s="186"/>
      <c r="H54" s="186"/>
      <c r="I54" s="186"/>
      <c r="J54" s="186"/>
    </row>
    <row r="63" spans="2:10" ht="18.75" x14ac:dyDescent="0.3">
      <c r="B63" s="179" t="s">
        <v>78</v>
      </c>
      <c r="C63" s="179"/>
      <c r="D63" s="179"/>
      <c r="E63" s="179"/>
      <c r="F63" s="179"/>
      <c r="G63" s="179"/>
      <c r="H63" s="179"/>
      <c r="I63" s="179"/>
      <c r="J63" s="179"/>
    </row>
    <row r="64" spans="2:10" x14ac:dyDescent="0.25">
      <c r="B64" t="s">
        <v>137</v>
      </c>
      <c r="J64" t="str">
        <f>$J$2</f>
        <v>Rev. 12-29-2023</v>
      </c>
    </row>
    <row r="65" spans="2:10" x14ac:dyDescent="0.25">
      <c r="C65" s="94"/>
      <c r="D65" s="94"/>
      <c r="E65" s="94"/>
      <c r="F65" s="94"/>
      <c r="G65" s="94"/>
      <c r="H65" s="94"/>
      <c r="I65" s="94"/>
      <c r="J65" s="94"/>
    </row>
    <row r="66" spans="2:10" x14ac:dyDescent="0.25">
      <c r="B66" s="93" t="s">
        <v>138</v>
      </c>
    </row>
    <row r="67" spans="2:10" ht="46.9" customHeight="1" x14ac:dyDescent="0.25">
      <c r="C67" s="184" t="s">
        <v>139</v>
      </c>
      <c r="D67" s="184"/>
      <c r="E67" s="184"/>
      <c r="F67" s="184"/>
      <c r="G67" s="184"/>
      <c r="H67" s="184"/>
      <c r="I67" s="184"/>
      <c r="J67" s="184"/>
    </row>
    <row r="68" spans="2:10" ht="11.45" customHeight="1" x14ac:dyDescent="0.25"/>
    <row r="69" spans="2:10" ht="30" customHeight="1" x14ac:dyDescent="0.25">
      <c r="C69" s="181" t="s">
        <v>136</v>
      </c>
      <c r="D69" s="181"/>
      <c r="E69" s="181"/>
      <c r="F69" s="181"/>
      <c r="G69" s="181"/>
      <c r="H69" s="181"/>
      <c r="I69" s="181"/>
      <c r="J69" s="181"/>
    </row>
    <row r="71" spans="2:10" ht="43.15" customHeight="1" x14ac:dyDescent="0.25">
      <c r="C71" s="181" t="s">
        <v>89</v>
      </c>
      <c r="D71" s="181"/>
      <c r="E71" s="181"/>
      <c r="F71" s="181"/>
      <c r="G71" s="181"/>
      <c r="H71" s="181"/>
      <c r="I71" s="181"/>
      <c r="J71" s="181"/>
    </row>
    <row r="72" spans="2:10" ht="9.6" customHeight="1" x14ac:dyDescent="0.25"/>
    <row r="73" spans="2:10" ht="28.9" customHeight="1" x14ac:dyDescent="0.25">
      <c r="C73" s="180" t="s">
        <v>90</v>
      </c>
      <c r="D73" s="180"/>
      <c r="E73" s="180"/>
      <c r="F73" s="180"/>
      <c r="G73" s="180"/>
      <c r="H73" s="180"/>
      <c r="I73" s="180"/>
      <c r="J73" s="180"/>
    </row>
    <row r="74" spans="2:10" ht="8.25" customHeight="1" x14ac:dyDescent="0.25">
      <c r="D74" s="97"/>
      <c r="E74" s="97"/>
      <c r="F74" s="97"/>
      <c r="G74" s="97"/>
      <c r="H74" s="97"/>
      <c r="I74" s="97"/>
      <c r="J74" s="97"/>
    </row>
    <row r="75" spans="2:10" ht="30" customHeight="1" x14ac:dyDescent="0.25">
      <c r="C75" s="180" t="s">
        <v>140</v>
      </c>
      <c r="D75" s="180"/>
      <c r="E75" s="180"/>
      <c r="F75" s="180"/>
      <c r="G75" s="180"/>
      <c r="H75" s="180"/>
      <c r="I75" s="180"/>
      <c r="J75" s="180"/>
    </row>
    <row r="76" spans="2:10" ht="10.9" customHeight="1" x14ac:dyDescent="0.25">
      <c r="D76" s="97"/>
      <c r="E76" s="97"/>
      <c r="F76" s="97"/>
      <c r="G76" s="97"/>
      <c r="H76" s="97"/>
      <c r="I76" s="97"/>
      <c r="J76" s="97"/>
    </row>
    <row r="77" spans="2:10" ht="72.599999999999994" customHeight="1" x14ac:dyDescent="0.25">
      <c r="C77" s="180" t="s">
        <v>115</v>
      </c>
      <c r="D77" s="180"/>
      <c r="E77" s="180"/>
      <c r="F77" s="180"/>
      <c r="G77" s="180"/>
      <c r="H77" s="180"/>
      <c r="I77" s="180"/>
      <c r="J77" s="180"/>
    </row>
    <row r="78" spans="2:10" ht="10.9" customHeight="1" x14ac:dyDescent="0.25">
      <c r="C78" s="95"/>
      <c r="D78" s="95"/>
      <c r="E78" s="95"/>
      <c r="F78" s="95"/>
      <c r="G78" s="95"/>
      <c r="H78" s="95"/>
      <c r="I78" s="95"/>
      <c r="J78" s="95"/>
    </row>
    <row r="79" spans="2:10" ht="58.15" customHeight="1" x14ac:dyDescent="0.25">
      <c r="C79" s="180" t="s">
        <v>141</v>
      </c>
      <c r="D79" s="180"/>
      <c r="E79" s="180"/>
      <c r="F79" s="180"/>
      <c r="G79" s="180"/>
      <c r="H79" s="180"/>
      <c r="I79" s="180"/>
      <c r="J79" s="180"/>
    </row>
    <row r="80" spans="2:10" ht="10.9" customHeight="1" x14ac:dyDescent="0.25"/>
    <row r="81" spans="2:10" ht="75" customHeight="1" x14ac:dyDescent="0.25">
      <c r="C81" s="180" t="s">
        <v>142</v>
      </c>
      <c r="D81" s="180"/>
      <c r="E81" s="180"/>
      <c r="F81" s="180"/>
      <c r="G81" s="180"/>
      <c r="H81" s="180"/>
      <c r="I81" s="180"/>
      <c r="J81" s="180"/>
    </row>
    <row r="82" spans="2:10" ht="10.15" customHeight="1" x14ac:dyDescent="0.25">
      <c r="C82" s="94"/>
      <c r="D82" s="94"/>
      <c r="E82" s="94"/>
      <c r="F82" s="94"/>
      <c r="G82" s="94"/>
      <c r="H82" s="94"/>
      <c r="I82" s="94"/>
      <c r="J82" s="94"/>
    </row>
    <row r="83" spans="2:10" ht="29.45" customHeight="1" x14ac:dyDescent="0.25">
      <c r="C83" s="180" t="s">
        <v>143</v>
      </c>
      <c r="D83" s="180"/>
      <c r="E83" s="180"/>
      <c r="F83" s="180"/>
      <c r="G83" s="180"/>
      <c r="H83" s="180"/>
      <c r="I83" s="180"/>
      <c r="J83" s="180"/>
    </row>
    <row r="85" spans="2:10" x14ac:dyDescent="0.25">
      <c r="B85" s="98"/>
      <c r="C85" s="99"/>
      <c r="D85" s="99"/>
      <c r="E85" s="99"/>
      <c r="F85" s="99"/>
      <c r="G85" s="99"/>
      <c r="H85" s="99"/>
      <c r="I85" s="99"/>
      <c r="J85" s="99"/>
    </row>
    <row r="86" spans="2:10" x14ac:dyDescent="0.25">
      <c r="B86" s="99"/>
      <c r="C86" s="99"/>
      <c r="D86" s="99"/>
      <c r="E86" s="99"/>
      <c r="F86" s="99"/>
      <c r="G86" s="99"/>
      <c r="H86" s="99"/>
      <c r="I86" s="99"/>
      <c r="J86" s="99"/>
    </row>
    <row r="87" spans="2:10" x14ac:dyDescent="0.25">
      <c r="B87" s="99"/>
      <c r="C87" s="99"/>
      <c r="D87" s="99"/>
      <c r="E87" s="99"/>
      <c r="F87" s="99"/>
      <c r="G87" s="99"/>
      <c r="H87" s="99"/>
      <c r="I87" s="99"/>
      <c r="J87" s="99"/>
    </row>
    <row r="88" spans="2:10" x14ac:dyDescent="0.25">
      <c r="B88" s="99"/>
      <c r="C88" s="151"/>
      <c r="D88" s="151"/>
      <c r="E88" s="151"/>
      <c r="F88" s="151"/>
      <c r="G88" s="151"/>
      <c r="H88" s="151"/>
      <c r="I88" s="151"/>
      <c r="J88" s="151"/>
    </row>
    <row r="89" spans="2:10" x14ac:dyDescent="0.25">
      <c r="B89" s="99"/>
      <c r="C89" s="99"/>
      <c r="D89" s="99"/>
      <c r="E89" s="99"/>
      <c r="F89" s="99"/>
      <c r="G89" s="99"/>
      <c r="H89" s="99"/>
      <c r="I89" s="99"/>
      <c r="J89" s="99"/>
    </row>
    <row r="90" spans="2:10" x14ac:dyDescent="0.25">
      <c r="B90" s="99"/>
      <c r="C90" s="152"/>
      <c r="D90" s="152"/>
      <c r="E90" s="152"/>
      <c r="F90" s="152"/>
      <c r="G90" s="152"/>
      <c r="H90" s="152"/>
      <c r="I90" s="152"/>
      <c r="J90" s="152"/>
    </row>
  </sheetData>
  <sheetProtection sheet="1" objects="1" scenarios="1"/>
  <mergeCells count="33">
    <mergeCell ref="C79:J79"/>
    <mergeCell ref="C81:J81"/>
    <mergeCell ref="C83:J83"/>
    <mergeCell ref="C67:J67"/>
    <mergeCell ref="C69:J69"/>
    <mergeCell ref="C71:J71"/>
    <mergeCell ref="C73:J73"/>
    <mergeCell ref="C75:J75"/>
    <mergeCell ref="C77:J77"/>
    <mergeCell ref="B63:J63"/>
    <mergeCell ref="B29:J29"/>
    <mergeCell ref="C33:J33"/>
    <mergeCell ref="C35:J35"/>
    <mergeCell ref="C37:J37"/>
    <mergeCell ref="C39:J39"/>
    <mergeCell ref="C41:J41"/>
    <mergeCell ref="C43:J43"/>
    <mergeCell ref="C45:J45"/>
    <mergeCell ref="C47:J47"/>
    <mergeCell ref="C52:J52"/>
    <mergeCell ref="C54:J54"/>
    <mergeCell ref="C27:J27"/>
    <mergeCell ref="B1:J1"/>
    <mergeCell ref="C5:J5"/>
    <mergeCell ref="C7:J7"/>
    <mergeCell ref="C9:J9"/>
    <mergeCell ref="C11:J11"/>
    <mergeCell ref="C13:J13"/>
    <mergeCell ref="C15:J15"/>
    <mergeCell ref="C17:J17"/>
    <mergeCell ref="C21:J21"/>
    <mergeCell ref="C23:J23"/>
    <mergeCell ref="C25:J25"/>
  </mergeCells>
  <pageMargins left="0.61458333333333337" right="0.54166666666666663" top="0.75" bottom="0.75" header="0.3" footer="0.3"/>
  <pageSetup orientation="portrait" r:id="rId1"/>
  <headerFooter>
    <oddHeader>&amp;R&amp;D</oddHeader>
  </headerFooter>
  <rowBreaks count="1" manualBreakCount="1">
    <brk id="2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A3C7-95EF-4FAA-8723-69DA8438DF00}">
  <sheetPr>
    <pageSetUpPr fitToPage="1"/>
  </sheetPr>
  <dimension ref="A1:E48"/>
  <sheetViews>
    <sheetView view="pageLayout" topLeftCell="A11" zoomScaleNormal="100" workbookViewId="0">
      <selection activeCell="E48" sqref="E48"/>
    </sheetView>
  </sheetViews>
  <sheetFormatPr defaultRowHeight="15" x14ac:dyDescent="0.25"/>
  <cols>
    <col min="1" max="2" width="25.7109375" customWidth="1"/>
    <col min="3" max="3" width="20.7109375" customWidth="1"/>
    <col min="4" max="4" width="10.7109375" customWidth="1"/>
    <col min="5" max="5" width="12.7109375" customWidth="1"/>
  </cols>
  <sheetData>
    <row r="1" spans="1:5" x14ac:dyDescent="0.25">
      <c r="A1" s="132" t="s">
        <v>1</v>
      </c>
      <c r="B1" s="100"/>
      <c r="D1" s="78" t="s">
        <v>109</v>
      </c>
      <c r="E1" s="101" t="s">
        <v>93</v>
      </c>
    </row>
    <row r="2" spans="1:5" x14ac:dyDescent="0.25">
      <c r="A2" s="78" t="s">
        <v>110</v>
      </c>
      <c r="B2" s="102"/>
    </row>
    <row r="3" spans="1:5" x14ac:dyDescent="0.25">
      <c r="A3" s="132" t="s">
        <v>2</v>
      </c>
      <c r="B3" s="103"/>
    </row>
    <row r="4" spans="1:5" ht="8.25" customHeight="1" x14ac:dyDescent="0.25"/>
    <row r="5" spans="1:5" ht="15.75" thickBot="1" x14ac:dyDescent="0.3">
      <c r="B5" s="190" t="s">
        <v>94</v>
      </c>
      <c r="C5" s="190"/>
    </row>
    <row r="6" spans="1:5" ht="16.5" thickTop="1" thickBot="1" x14ac:dyDescent="0.3">
      <c r="A6" s="104" t="s">
        <v>95</v>
      </c>
      <c r="B6" s="105" t="s">
        <v>96</v>
      </c>
      <c r="C6" s="106" t="s">
        <v>97</v>
      </c>
      <c r="D6" s="107" t="s">
        <v>98</v>
      </c>
      <c r="E6" s="108" t="s">
        <v>99</v>
      </c>
    </row>
    <row r="7" spans="1:5" ht="59.25" customHeight="1" thickTop="1" thickBot="1" x14ac:dyDescent="0.3">
      <c r="A7" s="109" t="s">
        <v>100</v>
      </c>
      <c r="B7" s="110" t="s">
        <v>101</v>
      </c>
      <c r="C7" s="111" t="s">
        <v>102</v>
      </c>
      <c r="D7" s="112" t="s">
        <v>103</v>
      </c>
      <c r="E7" s="113" t="s">
        <v>104</v>
      </c>
    </row>
    <row r="8" spans="1:5" x14ac:dyDescent="0.25">
      <c r="A8" s="114"/>
      <c r="B8" s="115"/>
      <c r="C8" s="3"/>
      <c r="D8" s="116"/>
      <c r="E8" s="187" t="e">
        <f>ROUND(AVERAGE(D8:D11),2)</f>
        <v>#DIV/0!</v>
      </c>
    </row>
    <row r="9" spans="1:5" x14ac:dyDescent="0.25">
      <c r="A9" s="117"/>
      <c r="B9" s="118"/>
      <c r="C9" s="119"/>
      <c r="D9" s="120"/>
      <c r="E9" s="188"/>
    </row>
    <row r="10" spans="1:5" x14ac:dyDescent="0.25">
      <c r="A10" s="121"/>
      <c r="B10" s="77"/>
      <c r="D10" s="122"/>
      <c r="E10" s="188"/>
    </row>
    <row r="11" spans="1:5" ht="15.75" thickBot="1" x14ac:dyDescent="0.3">
      <c r="A11" s="123"/>
      <c r="B11" s="124"/>
      <c r="C11" s="12"/>
      <c r="D11" s="125"/>
      <c r="E11" s="189"/>
    </row>
    <row r="12" spans="1:5" x14ac:dyDescent="0.25">
      <c r="A12" s="114"/>
      <c r="B12" s="115"/>
      <c r="C12" s="3"/>
      <c r="D12" s="116"/>
      <c r="E12" s="187" t="e">
        <f>ROUND(AVERAGE(D12:D13),2)</f>
        <v>#DIV/0!</v>
      </c>
    </row>
    <row r="13" spans="1:5" ht="15.75" thickBot="1" x14ac:dyDescent="0.3">
      <c r="A13" s="123"/>
      <c r="B13" s="126"/>
      <c r="C13" s="12"/>
      <c r="D13" s="125"/>
      <c r="E13" s="189"/>
    </row>
    <row r="14" spans="1:5" x14ac:dyDescent="0.25">
      <c r="A14" s="114"/>
      <c r="B14" s="34"/>
      <c r="C14" s="3"/>
      <c r="D14" s="116"/>
      <c r="E14" s="187" t="e">
        <f>ROUND(AVERAGE(D14:D19),2)</f>
        <v>#DIV/0!</v>
      </c>
    </row>
    <row r="15" spans="1:5" x14ac:dyDescent="0.25">
      <c r="A15" s="117"/>
      <c r="B15" s="48"/>
      <c r="C15" s="119"/>
      <c r="D15" s="120"/>
      <c r="E15" s="188"/>
    </row>
    <row r="16" spans="1:5" x14ac:dyDescent="0.25">
      <c r="A16" s="121"/>
      <c r="B16" s="55"/>
      <c r="C16" s="127"/>
      <c r="D16" s="128"/>
      <c r="E16" s="188"/>
    </row>
    <row r="17" spans="1:5" x14ac:dyDescent="0.25">
      <c r="A17" s="117"/>
      <c r="B17" s="48"/>
      <c r="C17" s="119"/>
      <c r="D17" s="120"/>
      <c r="E17" s="188"/>
    </row>
    <row r="18" spans="1:5" x14ac:dyDescent="0.25">
      <c r="A18" s="121"/>
      <c r="B18" s="55"/>
      <c r="C18" s="127"/>
      <c r="D18" s="128"/>
      <c r="E18" s="188"/>
    </row>
    <row r="19" spans="1:5" ht="15.75" thickBot="1" x14ac:dyDescent="0.3">
      <c r="A19" s="123"/>
      <c r="B19" s="126"/>
      <c r="C19" s="12"/>
      <c r="D19" s="125"/>
      <c r="E19" s="189"/>
    </row>
    <row r="20" spans="1:5" x14ac:dyDescent="0.25">
      <c r="A20" s="114"/>
      <c r="B20" s="34"/>
      <c r="C20" s="3"/>
      <c r="D20" s="116"/>
      <c r="E20" s="187" t="e">
        <f>ROUND(AVERAGE(D20:D25),2)</f>
        <v>#DIV/0!</v>
      </c>
    </row>
    <row r="21" spans="1:5" x14ac:dyDescent="0.25">
      <c r="A21" s="117"/>
      <c r="B21" s="48"/>
      <c r="C21" s="119"/>
      <c r="D21" s="120"/>
      <c r="E21" s="188"/>
    </row>
    <row r="22" spans="1:5" x14ac:dyDescent="0.25">
      <c r="A22" s="121"/>
      <c r="B22" s="55"/>
      <c r="C22" s="127"/>
      <c r="D22" s="128"/>
      <c r="E22" s="188"/>
    </row>
    <row r="23" spans="1:5" x14ac:dyDescent="0.25">
      <c r="A23" s="117"/>
      <c r="B23" s="48"/>
      <c r="C23" s="119"/>
      <c r="D23" s="120"/>
      <c r="E23" s="188"/>
    </row>
    <row r="24" spans="1:5" x14ac:dyDescent="0.25">
      <c r="A24" s="121"/>
      <c r="B24" s="55"/>
      <c r="C24" s="127"/>
      <c r="D24" s="128"/>
      <c r="E24" s="188"/>
    </row>
    <row r="25" spans="1:5" ht="15.75" thickBot="1" x14ac:dyDescent="0.3">
      <c r="A25" s="123"/>
      <c r="B25" s="126"/>
      <c r="C25" s="12"/>
      <c r="D25" s="125"/>
      <c r="E25" s="189"/>
    </row>
    <row r="26" spans="1:5" x14ac:dyDescent="0.25">
      <c r="A26" s="114"/>
      <c r="B26" s="34"/>
      <c r="C26" s="3"/>
      <c r="D26" s="116"/>
      <c r="E26" s="187" t="e">
        <f>ROUND(AVERAGE(D26:D29),2)</f>
        <v>#DIV/0!</v>
      </c>
    </row>
    <row r="27" spans="1:5" x14ac:dyDescent="0.25">
      <c r="A27" s="117"/>
      <c r="B27" s="48"/>
      <c r="C27" s="119"/>
      <c r="D27" s="120"/>
      <c r="E27" s="188"/>
    </row>
    <row r="28" spans="1:5" x14ac:dyDescent="0.25">
      <c r="A28" s="121"/>
      <c r="B28" s="55"/>
      <c r="C28" s="127"/>
      <c r="D28" s="128"/>
      <c r="E28" s="188"/>
    </row>
    <row r="29" spans="1:5" ht="15.75" thickBot="1" x14ac:dyDescent="0.3">
      <c r="A29" s="123"/>
      <c r="B29" s="126"/>
      <c r="C29" s="12"/>
      <c r="D29" s="125"/>
      <c r="E29" s="189"/>
    </row>
    <row r="30" spans="1:5" x14ac:dyDescent="0.25">
      <c r="A30" s="114"/>
      <c r="B30" s="34"/>
      <c r="C30" s="3"/>
      <c r="D30" s="116"/>
      <c r="E30" s="187" t="e">
        <f>ROUND(AVERAGE(D30:D33),2)</f>
        <v>#DIV/0!</v>
      </c>
    </row>
    <row r="31" spans="1:5" x14ac:dyDescent="0.25">
      <c r="A31" s="117"/>
      <c r="B31" s="48"/>
      <c r="C31" s="119"/>
      <c r="D31" s="120"/>
      <c r="E31" s="188"/>
    </row>
    <row r="32" spans="1:5" x14ac:dyDescent="0.25">
      <c r="A32" s="121"/>
      <c r="B32" s="68"/>
      <c r="D32" s="122"/>
      <c r="E32" s="188"/>
    </row>
    <row r="33" spans="1:5" ht="15.75" thickBot="1" x14ac:dyDescent="0.3">
      <c r="A33" s="123"/>
      <c r="B33" s="126"/>
      <c r="C33" s="12"/>
      <c r="D33" s="125"/>
      <c r="E33" s="189"/>
    </row>
    <row r="34" spans="1:5" x14ac:dyDescent="0.25">
      <c r="A34" s="114"/>
      <c r="B34" s="34"/>
      <c r="C34" s="3"/>
      <c r="D34" s="116"/>
      <c r="E34" s="187" t="e">
        <f>ROUND(AVERAGE(D34:D37),2)</f>
        <v>#DIV/0!</v>
      </c>
    </row>
    <row r="35" spans="1:5" x14ac:dyDescent="0.25">
      <c r="A35" s="117"/>
      <c r="B35" s="48"/>
      <c r="C35" s="119"/>
      <c r="D35" s="120"/>
      <c r="E35" s="188"/>
    </row>
    <row r="36" spans="1:5" x14ac:dyDescent="0.25">
      <c r="A36" s="121"/>
      <c r="B36" s="68"/>
      <c r="D36" s="122"/>
      <c r="E36" s="188"/>
    </row>
    <row r="37" spans="1:5" ht="15.75" thickBot="1" x14ac:dyDescent="0.3">
      <c r="A37" s="123"/>
      <c r="B37" s="126"/>
      <c r="C37" s="12"/>
      <c r="D37" s="125"/>
      <c r="E37" s="189"/>
    </row>
    <row r="38" spans="1:5" x14ac:dyDescent="0.25">
      <c r="A38" s="114"/>
      <c r="B38" s="34"/>
      <c r="C38" s="3"/>
      <c r="D38" s="116"/>
      <c r="E38" s="187" t="e">
        <f>ROUND(AVERAGE(D38:D41),2)</f>
        <v>#DIV/0!</v>
      </c>
    </row>
    <row r="39" spans="1:5" x14ac:dyDescent="0.25">
      <c r="A39" s="117"/>
      <c r="B39" s="48"/>
      <c r="C39" s="119"/>
      <c r="D39" s="120"/>
      <c r="E39" s="188"/>
    </row>
    <row r="40" spans="1:5" x14ac:dyDescent="0.25">
      <c r="A40" s="121"/>
      <c r="B40" s="68"/>
      <c r="D40" s="122"/>
      <c r="E40" s="188"/>
    </row>
    <row r="41" spans="1:5" ht="15.75" thickBot="1" x14ac:dyDescent="0.3">
      <c r="A41" s="123"/>
      <c r="B41" s="126"/>
      <c r="C41" s="12"/>
      <c r="D41" s="125"/>
      <c r="E41" s="189"/>
    </row>
    <row r="42" spans="1:5" ht="6.75" customHeight="1" x14ac:dyDescent="0.25"/>
    <row r="43" spans="1:5" ht="13.5" customHeight="1" x14ac:dyDescent="0.25">
      <c r="A43" s="129" t="s">
        <v>105</v>
      </c>
    </row>
    <row r="44" spans="1:5" ht="15" customHeight="1" x14ac:dyDescent="0.25">
      <c r="A44" s="129" t="s">
        <v>106</v>
      </c>
    </row>
    <row r="45" spans="1:5" ht="9.75" customHeight="1" x14ac:dyDescent="0.25"/>
    <row r="46" spans="1:5" ht="13.5" customHeight="1" x14ac:dyDescent="0.25">
      <c r="A46" s="119"/>
      <c r="C46" s="130"/>
    </row>
    <row r="47" spans="1:5" x14ac:dyDescent="0.25">
      <c r="A47" t="s">
        <v>107</v>
      </c>
      <c r="C47" s="131" t="s">
        <v>108</v>
      </c>
    </row>
    <row r="48" spans="1:5" x14ac:dyDescent="0.25">
      <c r="E48" t="str">
        <f>'Read Me'!$J$2</f>
        <v>Rev. 12-29-2023</v>
      </c>
    </row>
  </sheetData>
  <mergeCells count="9">
    <mergeCell ref="E26:E29"/>
    <mergeCell ref="E30:E33"/>
    <mergeCell ref="E34:E37"/>
    <mergeCell ref="E38:E41"/>
    <mergeCell ref="B5:C5"/>
    <mergeCell ref="E8:E11"/>
    <mergeCell ref="E12:E13"/>
    <mergeCell ref="E14:E19"/>
    <mergeCell ref="E20:E25"/>
  </mergeCells>
  <pageMargins left="0.7" right="0.7" top="0.75" bottom="0.75" header="0.3" footer="0.3"/>
  <pageSetup scale="86" orientation="portrait" r:id="rId1"/>
  <headerFooter scaleWithDoc="0" alignWithMargins="0"/>
  <ignoredErrors>
    <ignoredError sqref="E8 E12 E14 E20 E26 E30 E34 E3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9DDD-02C9-4820-A0D1-AA97E4E6452E}">
  <dimension ref="A1:F43"/>
  <sheetViews>
    <sheetView tabSelected="1" view="pageLayout" zoomScaleNormal="100" workbookViewId="0">
      <selection activeCell="F41" sqref="F41"/>
    </sheetView>
  </sheetViews>
  <sheetFormatPr defaultRowHeight="15" x14ac:dyDescent="0.25"/>
  <cols>
    <col min="1" max="1" width="22.5703125" customWidth="1"/>
    <col min="2" max="2" width="22.85546875" customWidth="1"/>
    <col min="3" max="3" width="18.7109375" customWidth="1"/>
    <col min="4" max="4" width="10.7109375" customWidth="1"/>
    <col min="5" max="5" width="11.5703125" customWidth="1"/>
    <col min="6" max="6" width="11.85546875" customWidth="1"/>
  </cols>
  <sheetData>
    <row r="1" spans="1:6" x14ac:dyDescent="0.25">
      <c r="A1" s="176" t="s">
        <v>1</v>
      </c>
      <c r="B1" s="100"/>
      <c r="C1" s="191" t="s">
        <v>164</v>
      </c>
      <c r="D1" s="191"/>
      <c r="E1" s="191"/>
      <c r="F1" s="101" t="s">
        <v>93</v>
      </c>
    </row>
    <row r="2" spans="1:6" x14ac:dyDescent="0.25">
      <c r="A2" t="s">
        <v>165</v>
      </c>
      <c r="B2" s="102"/>
    </row>
    <row r="3" spans="1:6" x14ac:dyDescent="0.25">
      <c r="A3" s="176" t="s">
        <v>2</v>
      </c>
      <c r="B3" s="103"/>
    </row>
    <row r="4" spans="1:6" ht="8.25" customHeight="1" x14ac:dyDescent="0.25"/>
    <row r="5" spans="1:6" ht="15.75" thickBot="1" x14ac:dyDescent="0.3">
      <c r="B5" s="190" t="s">
        <v>94</v>
      </c>
      <c r="C5" s="190"/>
    </row>
    <row r="6" spans="1:6" ht="16.5" thickTop="1" thickBot="1" x14ac:dyDescent="0.3">
      <c r="A6" s="104" t="s">
        <v>95</v>
      </c>
      <c r="B6" s="105" t="s">
        <v>96</v>
      </c>
      <c r="C6" s="106" t="s">
        <v>97</v>
      </c>
      <c r="D6" s="107" t="s">
        <v>98</v>
      </c>
      <c r="E6" s="105" t="s">
        <v>99</v>
      </c>
      <c r="F6" s="108" t="s">
        <v>166</v>
      </c>
    </row>
    <row r="7" spans="1:6" ht="59.25" customHeight="1" thickTop="1" thickBot="1" x14ac:dyDescent="0.3">
      <c r="A7" s="109" t="s">
        <v>100</v>
      </c>
      <c r="B7" s="110" t="s">
        <v>101</v>
      </c>
      <c r="C7" s="111" t="s">
        <v>102</v>
      </c>
      <c r="D7" s="112" t="s">
        <v>103</v>
      </c>
      <c r="E7" s="177" t="s">
        <v>167</v>
      </c>
      <c r="F7" s="113" t="s">
        <v>104</v>
      </c>
    </row>
    <row r="8" spans="1:6" x14ac:dyDescent="0.25">
      <c r="A8" s="114"/>
      <c r="B8" s="115"/>
      <c r="C8" s="3"/>
      <c r="D8" s="116"/>
      <c r="E8" s="116"/>
      <c r="F8" s="187">
        <f>(E8+E10)/2</f>
        <v>0</v>
      </c>
    </row>
    <row r="9" spans="1:6" x14ac:dyDescent="0.25">
      <c r="A9" s="117"/>
      <c r="B9" s="118"/>
      <c r="C9" s="119"/>
      <c r="D9" s="120"/>
      <c r="E9" s="120"/>
      <c r="F9" s="188"/>
    </row>
    <row r="10" spans="1:6" x14ac:dyDescent="0.25">
      <c r="A10" s="121"/>
      <c r="B10" s="77"/>
      <c r="D10" s="122"/>
      <c r="E10" s="122"/>
      <c r="F10" s="188"/>
    </row>
    <row r="11" spans="1:6" ht="15.75" thickBot="1" x14ac:dyDescent="0.3">
      <c r="A11" s="123"/>
      <c r="B11" s="124"/>
      <c r="C11" s="12"/>
      <c r="D11" s="125"/>
      <c r="E11" s="125"/>
      <c r="F11" s="189"/>
    </row>
    <row r="12" spans="1:6" x14ac:dyDescent="0.25">
      <c r="A12" s="114"/>
      <c r="B12" s="115"/>
      <c r="C12" s="3"/>
      <c r="D12" s="116"/>
      <c r="E12" s="116"/>
      <c r="F12" s="187">
        <f>E12</f>
        <v>0</v>
      </c>
    </row>
    <row r="13" spans="1:6" ht="15.75" thickBot="1" x14ac:dyDescent="0.3">
      <c r="A13" s="123"/>
      <c r="B13" s="126"/>
      <c r="C13" s="12"/>
      <c r="D13" s="125"/>
      <c r="E13" s="125"/>
      <c r="F13" s="189"/>
    </row>
    <row r="14" spans="1:6" x14ac:dyDescent="0.25">
      <c r="A14" s="114"/>
      <c r="B14" s="34"/>
      <c r="C14" s="3"/>
      <c r="D14" s="116"/>
      <c r="E14" s="116"/>
      <c r="F14" s="187">
        <f>(E14+E16+E18)/4</f>
        <v>0</v>
      </c>
    </row>
    <row r="15" spans="1:6" x14ac:dyDescent="0.25">
      <c r="A15" s="117"/>
      <c r="B15" s="48"/>
      <c r="C15" s="119"/>
      <c r="D15" s="120"/>
      <c r="E15" s="120"/>
      <c r="F15" s="188"/>
    </row>
    <row r="16" spans="1:6" x14ac:dyDescent="0.25">
      <c r="A16" s="121"/>
      <c r="B16" s="55"/>
      <c r="C16" s="127"/>
      <c r="D16" s="128"/>
      <c r="E16" s="128"/>
      <c r="F16" s="188"/>
    </row>
    <row r="17" spans="1:6" x14ac:dyDescent="0.25">
      <c r="A17" s="117"/>
      <c r="B17" s="48"/>
      <c r="C17" s="119"/>
      <c r="D17" s="120"/>
      <c r="E17" s="120"/>
      <c r="F17" s="188"/>
    </row>
    <row r="18" spans="1:6" x14ac:dyDescent="0.25">
      <c r="A18" s="121"/>
      <c r="B18" s="55"/>
      <c r="C18" s="127"/>
      <c r="D18" s="128"/>
      <c r="E18" s="128"/>
      <c r="F18" s="188"/>
    </row>
    <row r="19" spans="1:6" ht="15.75" thickBot="1" x14ac:dyDescent="0.3">
      <c r="A19" s="123"/>
      <c r="B19" s="126"/>
      <c r="C19" s="12"/>
      <c r="D19" s="125"/>
      <c r="E19" s="125"/>
      <c r="F19" s="189"/>
    </row>
    <row r="20" spans="1:6" x14ac:dyDescent="0.25">
      <c r="A20" s="114"/>
      <c r="B20" s="34"/>
      <c r="C20" s="3"/>
      <c r="D20" s="116"/>
      <c r="E20" s="116"/>
      <c r="F20" s="187">
        <f>(E20+E22+E24)/3</f>
        <v>0</v>
      </c>
    </row>
    <row r="21" spans="1:6" x14ac:dyDescent="0.25">
      <c r="A21" s="117"/>
      <c r="B21" s="48"/>
      <c r="C21" s="119"/>
      <c r="D21" s="120"/>
      <c r="E21" s="120"/>
      <c r="F21" s="188"/>
    </row>
    <row r="22" spans="1:6" x14ac:dyDescent="0.25">
      <c r="A22" s="121"/>
      <c r="B22" s="55"/>
      <c r="C22" s="127"/>
      <c r="D22" s="128"/>
      <c r="E22" s="128"/>
      <c r="F22" s="188"/>
    </row>
    <row r="23" spans="1:6" x14ac:dyDescent="0.25">
      <c r="A23" s="117"/>
      <c r="B23" s="48"/>
      <c r="C23" s="119"/>
      <c r="D23" s="120"/>
      <c r="E23" s="120"/>
      <c r="F23" s="188"/>
    </row>
    <row r="24" spans="1:6" x14ac:dyDescent="0.25">
      <c r="A24" s="121"/>
      <c r="B24" s="55"/>
      <c r="C24" s="127"/>
      <c r="D24" s="128"/>
      <c r="E24" s="128"/>
      <c r="F24" s="188"/>
    </row>
    <row r="25" spans="1:6" ht="15.75" thickBot="1" x14ac:dyDescent="0.3">
      <c r="A25" s="123"/>
      <c r="B25" s="126"/>
      <c r="C25" s="12"/>
      <c r="D25" s="125"/>
      <c r="E25" s="125"/>
      <c r="F25" s="189"/>
    </row>
    <row r="26" spans="1:6" x14ac:dyDescent="0.25">
      <c r="A26" s="114"/>
      <c r="B26" s="34"/>
      <c r="C26" s="3"/>
      <c r="D26" s="116"/>
      <c r="E26" s="116"/>
      <c r="F26" s="187">
        <f>(E26+E28)/2</f>
        <v>0</v>
      </c>
    </row>
    <row r="27" spans="1:6" x14ac:dyDescent="0.25">
      <c r="A27" s="117"/>
      <c r="B27" s="48"/>
      <c r="C27" s="119"/>
      <c r="D27" s="120"/>
      <c r="E27" s="120"/>
      <c r="F27" s="188"/>
    </row>
    <row r="28" spans="1:6" x14ac:dyDescent="0.25">
      <c r="A28" s="121"/>
      <c r="B28" s="55"/>
      <c r="C28" s="127"/>
      <c r="D28" s="128"/>
      <c r="E28" s="128"/>
      <c r="F28" s="188"/>
    </row>
    <row r="29" spans="1:6" ht="15.75" thickBot="1" x14ac:dyDescent="0.3">
      <c r="A29" s="123"/>
      <c r="B29" s="126"/>
      <c r="C29" s="12"/>
      <c r="D29" s="125"/>
      <c r="E29" s="125"/>
      <c r="F29" s="189"/>
    </row>
    <row r="30" spans="1:6" x14ac:dyDescent="0.25">
      <c r="A30" s="114"/>
      <c r="B30" s="34"/>
      <c r="C30" s="3"/>
      <c r="D30" s="116"/>
      <c r="E30" s="116"/>
      <c r="F30" s="187">
        <f>(E30+E32)/2</f>
        <v>0</v>
      </c>
    </row>
    <row r="31" spans="1:6" x14ac:dyDescent="0.25">
      <c r="A31" s="117"/>
      <c r="B31" s="48"/>
      <c r="C31" s="119"/>
      <c r="D31" s="120"/>
      <c r="E31" s="120"/>
      <c r="F31" s="188"/>
    </row>
    <row r="32" spans="1:6" x14ac:dyDescent="0.25">
      <c r="A32" s="121"/>
      <c r="B32" s="68"/>
      <c r="D32" s="122"/>
      <c r="E32" s="122"/>
      <c r="F32" s="188"/>
    </row>
    <row r="33" spans="1:6" ht="15.75" thickBot="1" x14ac:dyDescent="0.3">
      <c r="A33" s="123"/>
      <c r="B33" s="126"/>
      <c r="C33" s="12"/>
      <c r="D33" s="125"/>
      <c r="E33" s="125"/>
      <c r="F33" s="189"/>
    </row>
    <row r="34" spans="1:6" x14ac:dyDescent="0.25">
      <c r="A34" s="114"/>
      <c r="B34" s="34"/>
      <c r="C34" s="3"/>
      <c r="D34" s="116"/>
      <c r="E34" s="116"/>
      <c r="F34" s="187">
        <f>(E34+E36)/2</f>
        <v>0</v>
      </c>
    </row>
    <row r="35" spans="1:6" x14ac:dyDescent="0.25">
      <c r="A35" s="117"/>
      <c r="B35" s="48"/>
      <c r="C35" s="119"/>
      <c r="D35" s="120"/>
      <c r="E35" s="120"/>
      <c r="F35" s="188"/>
    </row>
    <row r="36" spans="1:6" x14ac:dyDescent="0.25">
      <c r="A36" s="121"/>
      <c r="B36" s="68"/>
      <c r="D36" s="122"/>
      <c r="E36" s="122"/>
      <c r="F36" s="188"/>
    </row>
    <row r="37" spans="1:6" ht="15.75" thickBot="1" x14ac:dyDescent="0.3">
      <c r="A37" s="123"/>
      <c r="B37" s="126"/>
      <c r="C37" s="12"/>
      <c r="D37" s="125"/>
      <c r="E37" s="125"/>
      <c r="F37" s="189"/>
    </row>
    <row r="38" spans="1:6" ht="6.75" customHeight="1" x14ac:dyDescent="0.25"/>
    <row r="39" spans="1:6" ht="13.5" customHeight="1" x14ac:dyDescent="0.25">
      <c r="A39" s="129" t="s">
        <v>105</v>
      </c>
    </row>
    <row r="40" spans="1:6" ht="15" customHeight="1" x14ac:dyDescent="0.25">
      <c r="A40" s="129" t="s">
        <v>106</v>
      </c>
    </row>
    <row r="41" spans="1:6" ht="9.75" customHeight="1" x14ac:dyDescent="0.25"/>
    <row r="42" spans="1:6" ht="13.5" customHeight="1" x14ac:dyDescent="0.25">
      <c r="A42" s="119"/>
      <c r="C42" s="130"/>
    </row>
    <row r="43" spans="1:6" x14ac:dyDescent="0.25">
      <c r="A43" t="s">
        <v>107</v>
      </c>
      <c r="C43" s="131" t="s">
        <v>108</v>
      </c>
      <c r="E43" t="str">
        <f>'Read Me'!$J$2</f>
        <v>Rev. 12-29-2023</v>
      </c>
    </row>
  </sheetData>
  <mergeCells count="9">
    <mergeCell ref="F26:F29"/>
    <mergeCell ref="F30:F33"/>
    <mergeCell ref="F34:F37"/>
    <mergeCell ref="C1:E1"/>
    <mergeCell ref="B5:C5"/>
    <mergeCell ref="F8:F11"/>
    <mergeCell ref="F12:F13"/>
    <mergeCell ref="F14:F19"/>
    <mergeCell ref="F20:F25"/>
  </mergeCells>
  <pageMargins left="0.25" right="0.25" top="0.89583333333333337" bottom="0.75" header="0.3" footer="0.3"/>
  <pageSetup orientation="portrait" r:id="rId1"/>
  <headerFooter>
    <oddHeader>&amp;C&amp;"-,Bold"&amp;16Salary Rate Table&amp;"-,Regular"&amp;11
&amp;14(For Contracts WITH Salary Caps)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DB38-F2F7-4FB6-B114-A9FA225569E8}">
  <dimension ref="B1:M35"/>
  <sheetViews>
    <sheetView view="pageLayout" zoomScaleNormal="100" workbookViewId="0">
      <selection activeCell="E15" sqref="E15"/>
    </sheetView>
  </sheetViews>
  <sheetFormatPr defaultRowHeight="15" x14ac:dyDescent="0.25"/>
  <cols>
    <col min="1" max="1" width="3.7109375" customWidth="1"/>
    <col min="2" max="2" width="18.140625" customWidth="1"/>
    <col min="3" max="3" width="13.42578125" customWidth="1"/>
    <col min="4" max="4" width="12.42578125" customWidth="1"/>
    <col min="5" max="5" width="15.5703125" customWidth="1"/>
    <col min="6" max="6" width="13.5703125" bestFit="1" customWidth="1"/>
    <col min="7" max="7" width="17.5703125" customWidth="1"/>
    <col min="8" max="8" width="3.7109375" customWidth="1"/>
    <col min="9" max="9" width="9.140625" hidden="1" customWidth="1"/>
    <col min="10" max="11" width="10.7109375" hidden="1" customWidth="1"/>
    <col min="12" max="12" width="9.85546875" hidden="1" customWidth="1"/>
    <col min="13" max="13" width="10.140625" hidden="1" customWidth="1"/>
  </cols>
  <sheetData>
    <row r="1" spans="2:13" ht="10.5" customHeight="1" thickBot="1" x14ac:dyDescent="0.3"/>
    <row r="2" spans="2:13" ht="19.5" thickBot="1" x14ac:dyDescent="0.35">
      <c r="B2" s="192" t="s">
        <v>0</v>
      </c>
      <c r="C2" s="193"/>
      <c r="D2" s="193"/>
      <c r="E2" s="193"/>
      <c r="F2" s="193"/>
      <c r="G2" s="194"/>
    </row>
    <row r="3" spans="2:13" x14ac:dyDescent="0.25">
      <c r="B3" s="1"/>
      <c r="C3" s="2"/>
      <c r="D3" s="3"/>
      <c r="E3" s="4"/>
      <c r="F3" s="4"/>
      <c r="G3" s="5"/>
    </row>
    <row r="4" spans="2:13" x14ac:dyDescent="0.25">
      <c r="B4" s="8"/>
      <c r="C4" s="132" t="s">
        <v>1</v>
      </c>
      <c r="D4" s="195">
        <f>'Salary Rate Table NO Cap'!$B$1</f>
        <v>0</v>
      </c>
      <c r="E4" s="195"/>
      <c r="G4" s="19"/>
    </row>
    <row r="5" spans="2:13" x14ac:dyDescent="0.25">
      <c r="B5" s="8"/>
      <c r="C5" s="78" t="s">
        <v>110</v>
      </c>
      <c r="D5" s="195">
        <f>'Salary Rate Table NO Cap'!$B$2</f>
        <v>0</v>
      </c>
      <c r="E5" s="195"/>
      <c r="G5" s="19"/>
    </row>
    <row r="6" spans="2:13" x14ac:dyDescent="0.25">
      <c r="B6" s="8"/>
      <c r="C6" s="132" t="s">
        <v>2</v>
      </c>
      <c r="D6" s="196">
        <f>'Salary Rate Table NO Cap'!$B$3</f>
        <v>0</v>
      </c>
      <c r="E6" s="195"/>
      <c r="G6" s="19"/>
    </row>
    <row r="7" spans="2:13" ht="15.75" thickBot="1" x14ac:dyDescent="0.3">
      <c r="B7" s="11"/>
      <c r="C7" s="12"/>
      <c r="D7" s="12"/>
      <c r="E7" s="13"/>
      <c r="F7" s="14"/>
      <c r="G7" s="15"/>
    </row>
    <row r="8" spans="2:13" ht="19.5" customHeight="1" x14ac:dyDescent="0.25">
      <c r="B8" s="1" t="s">
        <v>3</v>
      </c>
      <c r="C8" s="2"/>
      <c r="D8" s="2"/>
      <c r="E8" s="79" t="str">
        <f>'Salary Rate Table NO Cap'!$E$1</f>
        <v>XXX.XX%</v>
      </c>
      <c r="F8" s="9"/>
      <c r="G8" s="10"/>
    </row>
    <row r="9" spans="2:13" ht="6" customHeight="1" thickBot="1" x14ac:dyDescent="0.3">
      <c r="B9" s="11"/>
      <c r="C9" s="12"/>
      <c r="D9" s="12"/>
      <c r="E9" s="13"/>
      <c r="F9" s="14"/>
      <c r="G9" s="15"/>
    </row>
    <row r="10" spans="2:13" ht="15.75" thickBot="1" x14ac:dyDescent="0.3">
      <c r="B10" s="16" t="s">
        <v>144</v>
      </c>
      <c r="C10" s="3"/>
      <c r="D10" s="17">
        <v>3.7499999999999999E-2</v>
      </c>
      <c r="E10" s="3" t="s">
        <v>4</v>
      </c>
      <c r="F10" s="3"/>
      <c r="G10" s="18"/>
    </row>
    <row r="11" spans="2:13" ht="60" x14ac:dyDescent="0.25">
      <c r="B11" s="199"/>
      <c r="C11" s="200"/>
      <c r="D11" s="21" t="s">
        <v>71</v>
      </c>
      <c r="E11" s="21" t="s">
        <v>5</v>
      </c>
      <c r="F11" s="21" t="s">
        <v>69</v>
      </c>
      <c r="G11" s="22" t="s">
        <v>70</v>
      </c>
      <c r="I11" s="88" t="s">
        <v>6</v>
      </c>
      <c r="J11" s="88" t="s">
        <v>74</v>
      </c>
      <c r="K11" s="88" t="s">
        <v>75</v>
      </c>
      <c r="L11" s="88" t="s">
        <v>76</v>
      </c>
      <c r="M11" s="88" t="s">
        <v>77</v>
      </c>
    </row>
    <row r="12" spans="2:13" x14ac:dyDescent="0.25">
      <c r="B12" s="201" t="s">
        <v>7</v>
      </c>
      <c r="C12" s="202"/>
      <c r="D12" s="80">
        <v>1</v>
      </c>
      <c r="E12" s="133">
        <v>6</v>
      </c>
      <c r="F12" s="80">
        <f>((1+$D$10)^($E$12/12))-1</f>
        <v>1.8577439373168136E-2</v>
      </c>
      <c r="G12" s="81">
        <f>$D$12*(1+$F$12)</f>
        <v>1.0185774393731681</v>
      </c>
      <c r="I12" s="89">
        <f>12*(($D$10+1)^($E$12/12))/LN($D$10+1)</f>
        <v>332.01874820014325</v>
      </c>
      <c r="J12" s="90">
        <f>((1+(G12/D12-1))^(12/E12))-1</f>
        <v>3.7500000000000089E-2</v>
      </c>
      <c r="K12" s="78" t="b">
        <f>D10=ROUND(J12,10)</f>
        <v>1</v>
      </c>
      <c r="L12" s="92">
        <f>(1+D10)^(E12/12)</f>
        <v>1.0185774393731681</v>
      </c>
      <c r="M12" s="78" t="b">
        <f>G12=L12</f>
        <v>1</v>
      </c>
    </row>
    <row r="13" spans="2:13" ht="15.75" thickBot="1" x14ac:dyDescent="0.3">
      <c r="B13" s="203"/>
      <c r="C13" s="204"/>
      <c r="D13" s="26"/>
      <c r="E13" s="27"/>
      <c r="F13" s="12"/>
      <c r="G13" s="28"/>
      <c r="I13" s="91"/>
    </row>
    <row r="14" spans="2:13" x14ac:dyDescent="0.25">
      <c r="B14" s="199"/>
      <c r="C14" s="200"/>
      <c r="D14" s="29" t="s">
        <v>70</v>
      </c>
      <c r="E14" s="29" t="s">
        <v>8</v>
      </c>
      <c r="F14" s="29" t="s">
        <v>69</v>
      </c>
      <c r="G14" s="30" t="s">
        <v>9</v>
      </c>
    </row>
    <row r="15" spans="2:13" x14ac:dyDescent="0.25">
      <c r="B15" s="205" t="s">
        <v>10</v>
      </c>
      <c r="C15" s="206"/>
      <c r="D15" s="80">
        <f>$G$12</f>
        <v>1.0185774393731681</v>
      </c>
      <c r="E15" s="133">
        <v>36</v>
      </c>
      <c r="F15" s="80">
        <f>((1+$D$10)^($E$15/12))-1</f>
        <v>0.11677148437500029</v>
      </c>
      <c r="G15" s="81">
        <f>$D$15*(1+$F$15)</f>
        <v>1.1375182389196599</v>
      </c>
      <c r="I15" s="89">
        <f>12*(($D$10+1)^(($E$12+E15)/12))/LN($D$10+1)</f>
        <v>370.78907026780342</v>
      </c>
      <c r="J15" s="90">
        <f>((1+(G15/D15-1))^(12/E15))-1</f>
        <v>3.7500000000000089E-2</v>
      </c>
      <c r="K15" s="78" t="b">
        <f>D10=ROUND(J15,10)</f>
        <v>1</v>
      </c>
      <c r="L15" s="92">
        <f>(1+D10)^((E12+E15)/12)</f>
        <v>1.1375182389196599</v>
      </c>
      <c r="M15" s="78" t="b">
        <f>G15=L15</f>
        <v>1</v>
      </c>
    </row>
    <row r="16" spans="2:13" x14ac:dyDescent="0.25">
      <c r="B16" s="8"/>
      <c r="F16" s="31"/>
      <c r="G16" s="32"/>
      <c r="I16" s="90"/>
      <c r="J16" s="78"/>
      <c r="K16" s="78"/>
    </row>
    <row r="17" spans="2:13" ht="15" customHeight="1" x14ac:dyDescent="0.25">
      <c r="B17" s="8"/>
      <c r="D17" s="84" t="s">
        <v>72</v>
      </c>
      <c r="E17" s="87" t="str">
        <f>SUM(E15)&amp;" Months"</f>
        <v>36 Months</v>
      </c>
      <c r="F17" s="85" t="s">
        <v>73</v>
      </c>
      <c r="G17" s="86">
        <f>((12*(($D$10+1)^(($E$12+$E$15)/12))/LN($D$10+1))-(12*(($D$10+1)^($E$12/12))/LN($D$10+1)))/$E$15</f>
        <v>1.0769533907683382</v>
      </c>
      <c r="I17" s="89">
        <f>I15-I12</f>
        <v>38.770322067660175</v>
      </c>
      <c r="L17" s="92">
        <f>I17/E15</f>
        <v>1.0769533907683382</v>
      </c>
      <c r="M17" s="78" t="b">
        <f>G17=L17</f>
        <v>1</v>
      </c>
    </row>
    <row r="18" spans="2:13" ht="15.75" thickBot="1" x14ac:dyDescent="0.3">
      <c r="B18" s="11"/>
      <c r="C18" s="12"/>
      <c r="D18" s="12"/>
      <c r="E18" s="12"/>
      <c r="F18" s="12"/>
      <c r="G18" s="33"/>
    </row>
    <row r="19" spans="2:13" ht="60.75" thickBot="1" x14ac:dyDescent="0.3">
      <c r="B19" s="197" t="s">
        <v>11</v>
      </c>
      <c r="C19" s="198"/>
      <c r="D19" s="34"/>
      <c r="E19" s="35" t="s">
        <v>12</v>
      </c>
      <c r="F19" s="35" t="s">
        <v>113</v>
      </c>
      <c r="G19" s="36" t="s">
        <v>13</v>
      </c>
    </row>
    <row r="20" spans="2:13" x14ac:dyDescent="0.25">
      <c r="B20" s="211" t="s">
        <v>14</v>
      </c>
      <c r="C20" s="212"/>
      <c r="D20" s="143" t="s">
        <v>15</v>
      </c>
      <c r="E20" s="134"/>
      <c r="F20" s="82">
        <f>$G$17</f>
        <v>1.0769533907683382</v>
      </c>
      <c r="G20" s="83">
        <f>ROUND(E20*F20,2)</f>
        <v>0</v>
      </c>
    </row>
    <row r="21" spans="2:13" x14ac:dyDescent="0.25">
      <c r="B21" s="207" t="s">
        <v>16</v>
      </c>
      <c r="C21" s="208"/>
      <c r="D21" s="137" t="s">
        <v>17</v>
      </c>
      <c r="E21" s="135"/>
      <c r="F21" s="138">
        <f t="shared" ref="F21:F27" si="0">$G$17</f>
        <v>1.0769533907683382</v>
      </c>
      <c r="G21" s="139">
        <f>ROUND(E21*F21,2)</f>
        <v>0</v>
      </c>
    </row>
    <row r="22" spans="2:13" x14ac:dyDescent="0.25">
      <c r="B22" s="207" t="s">
        <v>18</v>
      </c>
      <c r="C22" s="208"/>
      <c r="D22" s="137" t="s">
        <v>19</v>
      </c>
      <c r="E22" s="135"/>
      <c r="F22" s="138">
        <f t="shared" si="0"/>
        <v>1.0769533907683382</v>
      </c>
      <c r="G22" s="139">
        <f t="shared" ref="G22:G26" si="1">ROUND(E22*F22,2)</f>
        <v>0</v>
      </c>
    </row>
    <row r="23" spans="2:13" x14ac:dyDescent="0.25">
      <c r="B23" s="207" t="s">
        <v>20</v>
      </c>
      <c r="C23" s="208"/>
      <c r="D23" s="137" t="s">
        <v>21</v>
      </c>
      <c r="E23" s="135"/>
      <c r="F23" s="138">
        <f t="shared" si="0"/>
        <v>1.0769533907683382</v>
      </c>
      <c r="G23" s="139">
        <f t="shared" si="1"/>
        <v>0</v>
      </c>
    </row>
    <row r="24" spans="2:13" x14ac:dyDescent="0.25">
      <c r="B24" s="207" t="s">
        <v>22</v>
      </c>
      <c r="C24" s="208"/>
      <c r="D24" s="137" t="s">
        <v>23</v>
      </c>
      <c r="E24" s="135"/>
      <c r="F24" s="138">
        <f t="shared" si="0"/>
        <v>1.0769533907683382</v>
      </c>
      <c r="G24" s="139">
        <f t="shared" si="1"/>
        <v>0</v>
      </c>
    </row>
    <row r="25" spans="2:13" x14ac:dyDescent="0.25">
      <c r="B25" s="207" t="s">
        <v>24</v>
      </c>
      <c r="C25" s="208"/>
      <c r="D25" s="137" t="s">
        <v>25</v>
      </c>
      <c r="E25" s="135"/>
      <c r="F25" s="138">
        <f t="shared" si="0"/>
        <v>1.0769533907683382</v>
      </c>
      <c r="G25" s="139">
        <f t="shared" si="1"/>
        <v>0</v>
      </c>
    </row>
    <row r="26" spans="2:13" x14ac:dyDescent="0.25">
      <c r="B26" s="207" t="s">
        <v>26</v>
      </c>
      <c r="C26" s="208"/>
      <c r="D26" s="137" t="s">
        <v>27</v>
      </c>
      <c r="E26" s="135"/>
      <c r="F26" s="138">
        <f t="shared" si="0"/>
        <v>1.0769533907683382</v>
      </c>
      <c r="G26" s="139">
        <f t="shared" si="1"/>
        <v>0</v>
      </c>
    </row>
    <row r="27" spans="2:13" ht="15.75" thickBot="1" x14ac:dyDescent="0.3">
      <c r="B27" s="209" t="s">
        <v>28</v>
      </c>
      <c r="C27" s="210"/>
      <c r="D27" s="140" t="s">
        <v>29</v>
      </c>
      <c r="E27" s="136"/>
      <c r="F27" s="141">
        <f t="shared" si="0"/>
        <v>1.0769533907683382</v>
      </c>
      <c r="G27" s="142">
        <f>ROUND(E27*F27,2)</f>
        <v>0</v>
      </c>
    </row>
    <row r="28" spans="2:13" x14ac:dyDescent="0.25">
      <c r="E28" s="6"/>
      <c r="F28" s="7"/>
      <c r="G28" s="6"/>
    </row>
    <row r="29" spans="2:13" ht="18.75" customHeight="1" x14ac:dyDescent="0.25">
      <c r="B29" s="37"/>
      <c r="C29" s="37"/>
      <c r="D29" s="150"/>
      <c r="E29" t="s">
        <v>30</v>
      </c>
    </row>
    <row r="30" spans="2:13" x14ac:dyDescent="0.25">
      <c r="G30" s="78" t="str">
        <f>'Read Me'!$J$2</f>
        <v>Rev. 12-29-2023</v>
      </c>
    </row>
    <row r="32" spans="2:13" x14ac:dyDescent="0.25">
      <c r="E32" s="38"/>
    </row>
    <row r="33" spans="7:7" x14ac:dyDescent="0.25">
      <c r="G33" s="39"/>
    </row>
    <row r="34" spans="7:7" x14ac:dyDescent="0.25">
      <c r="G34" s="40"/>
    </row>
    <row r="35" spans="7:7" x14ac:dyDescent="0.25">
      <c r="G35" s="40"/>
    </row>
  </sheetData>
  <sheetProtection sheet="1" insertRows="0"/>
  <mergeCells count="18">
    <mergeCell ref="B25:C25"/>
    <mergeCell ref="B26:C26"/>
    <mergeCell ref="B27:C27"/>
    <mergeCell ref="B20:C20"/>
    <mergeCell ref="B21:C21"/>
    <mergeCell ref="B22:C22"/>
    <mergeCell ref="B23:C23"/>
    <mergeCell ref="B24:C24"/>
    <mergeCell ref="B2:G2"/>
    <mergeCell ref="D4:E4"/>
    <mergeCell ref="D5:E5"/>
    <mergeCell ref="D6:E6"/>
    <mergeCell ref="B19:C19"/>
    <mergeCell ref="B11:C11"/>
    <mergeCell ref="B12:C12"/>
    <mergeCell ref="B13:C13"/>
    <mergeCell ref="B14:C14"/>
    <mergeCell ref="B15:C15"/>
  </mergeCells>
  <conditionalFormatting sqref="F12">
    <cfRule type="expression" dxfId="9" priority="4">
      <formula>$K$12&lt;&gt;TRUE</formula>
    </cfRule>
  </conditionalFormatting>
  <conditionalFormatting sqref="F15">
    <cfRule type="expression" dxfId="8" priority="3">
      <formula>$K$15&lt;&gt;TRUE</formula>
    </cfRule>
  </conditionalFormatting>
  <conditionalFormatting sqref="G12">
    <cfRule type="expression" dxfId="7" priority="5">
      <formula>$M$12&lt;&gt;TRUE</formula>
    </cfRule>
  </conditionalFormatting>
  <conditionalFormatting sqref="G15">
    <cfRule type="expression" dxfId="6" priority="2">
      <formula>$M$15&lt;&gt;TRUE</formula>
    </cfRule>
  </conditionalFormatting>
  <conditionalFormatting sqref="G17">
    <cfRule type="expression" dxfId="5" priority="1">
      <formula>$M$17&lt;&gt;TRUE</formula>
    </cfRule>
  </conditionalFormatting>
  <pageMargins left="0.7" right="0.7" top="0.75" bottom="0.75" header="0.3" footer="0.3"/>
  <pageSetup scale="87" orientation="portrait" r:id="rId1"/>
  <ignoredErrors>
    <ignoredError sqref="F21:F27 G21:G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552F-3B50-4B90-B998-4EF937D9FFE7}">
  <dimension ref="B1:N45"/>
  <sheetViews>
    <sheetView view="pageLayout" zoomScaleNormal="100" workbookViewId="0">
      <selection activeCell="D13" sqref="D13"/>
    </sheetView>
  </sheetViews>
  <sheetFormatPr defaultRowHeight="15" x14ac:dyDescent="0.25"/>
  <cols>
    <col min="1" max="1" width="3.7109375" customWidth="1"/>
    <col min="2" max="2" width="19.140625" customWidth="1"/>
    <col min="3" max="3" width="13.42578125" customWidth="1"/>
    <col min="4" max="4" width="12.42578125" customWidth="1"/>
    <col min="5" max="5" width="15.5703125" customWidth="1"/>
    <col min="6" max="6" width="13.5703125" bestFit="1" customWidth="1"/>
    <col min="7" max="7" width="17.5703125" customWidth="1"/>
    <col min="8" max="8" width="3.7109375" customWidth="1"/>
    <col min="9" max="9" width="9.140625" hidden="1" customWidth="1"/>
    <col min="10" max="11" width="10.7109375" hidden="1" customWidth="1"/>
    <col min="12" max="12" width="9.85546875" hidden="1" customWidth="1"/>
    <col min="13" max="13" width="10.140625" hidden="1" customWidth="1"/>
  </cols>
  <sheetData>
    <row r="1" spans="2:13" ht="10.5" customHeight="1" thickBot="1" x14ac:dyDescent="0.3"/>
    <row r="2" spans="2:13" ht="10.5" customHeight="1" x14ac:dyDescent="0.25">
      <c r="B2" s="213" t="s">
        <v>145</v>
      </c>
      <c r="C2" s="214"/>
      <c r="D2" s="214"/>
      <c r="E2" s="214"/>
      <c r="F2" s="214"/>
      <c r="G2" s="215"/>
    </row>
    <row r="3" spans="2:13" ht="25.9" customHeight="1" thickBot="1" x14ac:dyDescent="0.3">
      <c r="B3" s="216"/>
      <c r="C3" s="217"/>
      <c r="D3" s="217"/>
      <c r="E3" s="217"/>
      <c r="F3" s="217"/>
      <c r="G3" s="218"/>
    </row>
    <row r="4" spans="2:13" x14ac:dyDescent="0.25">
      <c r="B4" s="1"/>
      <c r="C4" s="2"/>
      <c r="D4" s="3"/>
      <c r="E4" s="4"/>
      <c r="F4" s="4"/>
      <c r="G4" s="5"/>
    </row>
    <row r="5" spans="2:13" x14ac:dyDescent="0.25">
      <c r="B5" s="8"/>
      <c r="C5" s="132" t="s">
        <v>1</v>
      </c>
      <c r="D5" s="195">
        <f>'[1] Salary_Rate_Table_NO_Cap'!$B$1</f>
        <v>0</v>
      </c>
      <c r="E5" s="195"/>
      <c r="G5" s="19"/>
    </row>
    <row r="6" spans="2:13" x14ac:dyDescent="0.25">
      <c r="B6" s="8"/>
      <c r="C6" s="78" t="s">
        <v>110</v>
      </c>
      <c r="D6" s="195">
        <f>'[1] Salary_Rate_Table_NO_Cap'!$B$2</f>
        <v>0</v>
      </c>
      <c r="E6" s="195"/>
      <c r="G6" s="19"/>
    </row>
    <row r="7" spans="2:13" x14ac:dyDescent="0.25">
      <c r="B7" s="8"/>
      <c r="C7" s="132" t="s">
        <v>2</v>
      </c>
      <c r="D7" s="196">
        <f>'[1] Salary_Rate_Table_NO_Cap'!$B$3</f>
        <v>0</v>
      </c>
      <c r="E7" s="195"/>
      <c r="G7" s="19"/>
    </row>
    <row r="8" spans="2:13" ht="15.75" thickBot="1" x14ac:dyDescent="0.3">
      <c r="B8" s="11"/>
      <c r="C8" s="12"/>
      <c r="D8" s="12"/>
      <c r="E8" s="13"/>
      <c r="F8" s="14"/>
      <c r="G8" s="15"/>
    </row>
    <row r="9" spans="2:13" ht="19.5" customHeight="1" x14ac:dyDescent="0.25">
      <c r="B9" s="1" t="s">
        <v>3</v>
      </c>
      <c r="C9" s="2"/>
      <c r="D9" s="2"/>
      <c r="E9" s="153">
        <v>0</v>
      </c>
      <c r="F9" s="9"/>
      <c r="G9" s="10"/>
    </row>
    <row r="10" spans="2:13" ht="6" customHeight="1" thickBot="1" x14ac:dyDescent="0.3">
      <c r="B10" s="11"/>
      <c r="C10" s="12"/>
      <c r="D10" s="12"/>
      <c r="E10" s="13"/>
      <c r="F10" s="14"/>
      <c r="G10" s="15"/>
    </row>
    <row r="11" spans="2:13" ht="19.5" customHeight="1" x14ac:dyDescent="0.25">
      <c r="B11" s="1" t="s">
        <v>146</v>
      </c>
      <c r="C11" s="2"/>
      <c r="D11" s="2"/>
      <c r="E11" s="154">
        <v>0.08</v>
      </c>
      <c r="F11" s="9"/>
      <c r="G11" s="10"/>
    </row>
    <row r="12" spans="2:13" ht="6" customHeight="1" thickBot="1" x14ac:dyDescent="0.3">
      <c r="B12" s="11"/>
      <c r="C12" s="12"/>
      <c r="D12" s="12"/>
      <c r="E12" s="13"/>
      <c r="F12" s="14"/>
      <c r="G12" s="15"/>
    </row>
    <row r="13" spans="2:13" ht="15.75" thickBot="1" x14ac:dyDescent="0.3">
      <c r="B13" s="16" t="s">
        <v>144</v>
      </c>
      <c r="C13" s="3"/>
      <c r="D13" s="17">
        <v>3.7499999999999999E-2</v>
      </c>
      <c r="E13" s="3" t="s">
        <v>4</v>
      </c>
      <c r="F13" s="3"/>
      <c r="G13" s="18"/>
    </row>
    <row r="14" spans="2:13" ht="60" x14ac:dyDescent="0.25">
      <c r="B14" s="199"/>
      <c r="C14" s="200"/>
      <c r="D14" s="21" t="s">
        <v>71</v>
      </c>
      <c r="E14" s="21" t="s">
        <v>5</v>
      </c>
      <c r="F14" s="21" t="s">
        <v>69</v>
      </c>
      <c r="G14" s="22" t="s">
        <v>70</v>
      </c>
      <c r="I14" s="88" t="s">
        <v>6</v>
      </c>
      <c r="J14" s="88" t="s">
        <v>74</v>
      </c>
      <c r="K14" s="88" t="s">
        <v>75</v>
      </c>
      <c r="L14" s="88" t="s">
        <v>76</v>
      </c>
      <c r="M14" s="88" t="s">
        <v>77</v>
      </c>
    </row>
    <row r="15" spans="2:13" x14ac:dyDescent="0.25">
      <c r="B15" s="201" t="s">
        <v>7</v>
      </c>
      <c r="C15" s="202"/>
      <c r="D15" s="80">
        <v>1</v>
      </c>
      <c r="E15" s="133">
        <v>0</v>
      </c>
      <c r="F15" s="80">
        <f>((1+$D$13)^($E$15/12))-1</f>
        <v>0</v>
      </c>
      <c r="G15" s="81">
        <f>$D$15*(1+$F$15)</f>
        <v>1</v>
      </c>
      <c r="I15" s="89">
        <f>12*(($D$13+1)^($E$15/12))/LN($D$13+1)</f>
        <v>325.96318685839674</v>
      </c>
      <c r="J15" s="90" t="e">
        <f>((1+(G15/D15-1))^(12/E15))-1</f>
        <v>#DIV/0!</v>
      </c>
      <c r="K15" s="78" t="e">
        <f>D13=ROUND(J15,10)</f>
        <v>#DIV/0!</v>
      </c>
      <c r="L15" s="92">
        <f>(1+D13)^(E15/12)</f>
        <v>1</v>
      </c>
      <c r="M15" s="78" t="b">
        <f>G15=L15</f>
        <v>1</v>
      </c>
    </row>
    <row r="16" spans="2:13" ht="15.75" thickBot="1" x14ac:dyDescent="0.3">
      <c r="B16" s="203"/>
      <c r="C16" s="204"/>
      <c r="D16" s="26"/>
      <c r="E16" s="27"/>
      <c r="F16" s="12"/>
      <c r="G16" s="28"/>
      <c r="I16" s="91"/>
    </row>
    <row r="17" spans="2:14" x14ac:dyDescent="0.25">
      <c r="B17" s="199"/>
      <c r="C17" s="200"/>
      <c r="D17" s="29" t="s">
        <v>70</v>
      </c>
      <c r="E17" s="29" t="s">
        <v>8</v>
      </c>
      <c r="F17" s="29" t="s">
        <v>69</v>
      </c>
      <c r="G17" s="30" t="s">
        <v>9</v>
      </c>
    </row>
    <row r="18" spans="2:14" x14ac:dyDescent="0.25">
      <c r="B18" s="205" t="s">
        <v>10</v>
      </c>
      <c r="C18" s="206"/>
      <c r="D18" s="80">
        <f>$G$15</f>
        <v>1</v>
      </c>
      <c r="E18" s="133">
        <v>36</v>
      </c>
      <c r="F18" s="80">
        <f>((1+$D$13)^($E$18/12))-1</f>
        <v>0.11677148437500029</v>
      </c>
      <c r="G18" s="81">
        <f>$D$18*(1+$F$18)</f>
        <v>1.1167714843750003</v>
      </c>
      <c r="I18" s="89">
        <f>12*(($D$13+1)^(($E$15+E18)/12))/LN($D$13+1)</f>
        <v>364.02639203945728</v>
      </c>
      <c r="J18" s="90">
        <f>((1+(G18/D18-1))^(12/E18))-1</f>
        <v>3.7500000000000089E-2</v>
      </c>
      <c r="K18" s="78" t="b">
        <f>D13=ROUND(J18,10)</f>
        <v>1</v>
      </c>
      <c r="L18" s="92">
        <f>(1+D13)^((E15+E18)/12)</f>
        <v>1.1167714843750003</v>
      </c>
      <c r="M18" s="78" t="b">
        <f>G18=L18</f>
        <v>1</v>
      </c>
    </row>
    <row r="19" spans="2:14" x14ac:dyDescent="0.25">
      <c r="B19" s="8"/>
      <c r="F19" s="31"/>
      <c r="G19" s="32"/>
      <c r="I19" s="90"/>
      <c r="J19" s="78"/>
      <c r="K19" s="78"/>
    </row>
    <row r="20" spans="2:14" ht="15" customHeight="1" x14ac:dyDescent="0.25">
      <c r="B20" s="8"/>
      <c r="D20" s="84" t="s">
        <v>72</v>
      </c>
      <c r="E20" s="87" t="str">
        <f>SUM(E18)&amp;" Months"</f>
        <v>36 Months</v>
      </c>
      <c r="F20" s="85" t="s">
        <v>73</v>
      </c>
      <c r="G20" s="86">
        <f>((12*(($D$13+1)^(($E$15+$E$18)/12))/LN($D$13+1))-(12*(($D$13+1)^($E$15/12))/LN($D$13+1)))/$E$18</f>
        <v>1.0573112550294594</v>
      </c>
      <c r="I20" s="89">
        <f>I18-I15</f>
        <v>38.063205181060539</v>
      </c>
      <c r="L20" s="92">
        <f>I20/E18</f>
        <v>1.0573112550294594</v>
      </c>
      <c r="M20" s="78" t="b">
        <f>G20=L20</f>
        <v>1</v>
      </c>
    </row>
    <row r="21" spans="2:14" ht="15.75" thickBot="1" x14ac:dyDescent="0.3">
      <c r="B21" s="11"/>
      <c r="C21" s="12"/>
      <c r="D21" s="12"/>
      <c r="E21" s="12"/>
      <c r="F21" s="12"/>
      <c r="G21" s="33"/>
    </row>
    <row r="22" spans="2:14" ht="55.15" customHeight="1" thickBot="1" x14ac:dyDescent="0.3">
      <c r="B22" s="155" t="s">
        <v>147</v>
      </c>
      <c r="C22" s="35" t="s">
        <v>148</v>
      </c>
      <c r="D22" s="36" t="s">
        <v>149</v>
      </c>
      <c r="E22" s="35" t="s">
        <v>150</v>
      </c>
      <c r="F22" s="156" t="s">
        <v>151</v>
      </c>
      <c r="G22" s="36" t="s">
        <v>152</v>
      </c>
    </row>
    <row r="23" spans="2:14" x14ac:dyDescent="0.25">
      <c r="B23" s="157" t="s">
        <v>153</v>
      </c>
      <c r="C23" s="158">
        <v>0</v>
      </c>
      <c r="D23" s="159">
        <f>ROUND(C23*G20,2)</f>
        <v>0</v>
      </c>
      <c r="E23" s="160">
        <f>ROUND(D23*$E$9,2)</f>
        <v>0</v>
      </c>
      <c r="F23" s="161">
        <f>ROUND((D23+E23)*$E$11,2)</f>
        <v>0</v>
      </c>
      <c r="G23" s="162">
        <f>SUM(D23:F23)</f>
        <v>0</v>
      </c>
    </row>
    <row r="24" spans="2:14" x14ac:dyDescent="0.25">
      <c r="B24" s="163" t="s">
        <v>154</v>
      </c>
      <c r="C24" s="164">
        <v>0</v>
      </c>
      <c r="D24" s="165">
        <f>ROUND(C24*G20,2)</f>
        <v>0</v>
      </c>
      <c r="E24" s="166">
        <f>ROUND(D24*$E$9,2)</f>
        <v>0</v>
      </c>
      <c r="F24" s="165">
        <f>ROUND((D24+E24)*$E$11,2)</f>
        <v>0</v>
      </c>
      <c r="G24" s="167">
        <f>SUM(D24:F24)</f>
        <v>0</v>
      </c>
      <c r="N24" s="168"/>
    </row>
    <row r="25" spans="2:14" x14ac:dyDescent="0.25">
      <c r="B25" s="163" t="s">
        <v>155</v>
      </c>
      <c r="C25" s="164">
        <v>0</v>
      </c>
      <c r="D25" s="165">
        <f>ROUND(C25*G20,2)</f>
        <v>0</v>
      </c>
      <c r="E25" s="166">
        <f t="shared" ref="E25:E29" si="0">ROUND(D25*$E$9,2)</f>
        <v>0</v>
      </c>
      <c r="F25" s="165">
        <f>ROUND((D25+E25)*$E$11,2)</f>
        <v>0</v>
      </c>
      <c r="G25" s="167">
        <f t="shared" ref="G25:G29" si="1">SUM(D25:F25)</f>
        <v>0</v>
      </c>
    </row>
    <row r="26" spans="2:14" x14ac:dyDescent="0.25">
      <c r="B26" s="163" t="s">
        <v>156</v>
      </c>
      <c r="C26" s="164">
        <v>0</v>
      </c>
      <c r="D26" s="165">
        <f>ROUND(C26*G20,2)</f>
        <v>0</v>
      </c>
      <c r="E26" s="166">
        <f t="shared" si="0"/>
        <v>0</v>
      </c>
      <c r="F26" s="165">
        <f t="shared" ref="F26:F29" si="2">ROUND((D26+E26)*$E$11,2)</f>
        <v>0</v>
      </c>
      <c r="G26" s="167">
        <f t="shared" si="1"/>
        <v>0</v>
      </c>
    </row>
    <row r="27" spans="2:14" x14ac:dyDescent="0.25">
      <c r="B27" s="163" t="s">
        <v>157</v>
      </c>
      <c r="C27" s="164">
        <v>0</v>
      </c>
      <c r="D27" s="165">
        <f>ROUND(C27*G20,2)</f>
        <v>0</v>
      </c>
      <c r="E27" s="166">
        <f t="shared" si="0"/>
        <v>0</v>
      </c>
      <c r="F27" s="165">
        <f t="shared" si="2"/>
        <v>0</v>
      </c>
      <c r="G27" s="167">
        <f t="shared" si="1"/>
        <v>0</v>
      </c>
    </row>
    <row r="28" spans="2:14" x14ac:dyDescent="0.25">
      <c r="B28" s="163" t="s">
        <v>157</v>
      </c>
      <c r="C28" s="164">
        <v>0</v>
      </c>
      <c r="D28" s="165">
        <f>ROUND(C28*G20,2)</f>
        <v>0</v>
      </c>
      <c r="E28" s="166">
        <f t="shared" si="0"/>
        <v>0</v>
      </c>
      <c r="F28" s="165">
        <f t="shared" si="2"/>
        <v>0</v>
      </c>
      <c r="G28" s="167">
        <f t="shared" si="1"/>
        <v>0</v>
      </c>
    </row>
    <row r="29" spans="2:14" x14ac:dyDescent="0.25">
      <c r="B29" s="163" t="s">
        <v>157</v>
      </c>
      <c r="C29" s="164">
        <v>0</v>
      </c>
      <c r="D29" s="165">
        <f>ROUND(C29*G20,2)</f>
        <v>0</v>
      </c>
      <c r="E29" s="166">
        <f t="shared" si="0"/>
        <v>0</v>
      </c>
      <c r="F29" s="165">
        <f t="shared" si="2"/>
        <v>0</v>
      </c>
      <c r="G29" s="167">
        <f t="shared" si="1"/>
        <v>0</v>
      </c>
    </row>
    <row r="30" spans="2:14" ht="15.75" thickBot="1" x14ac:dyDescent="0.3">
      <c r="B30" s="169" t="s">
        <v>157</v>
      </c>
      <c r="C30" s="170">
        <v>0</v>
      </c>
      <c r="D30" s="171">
        <f>ROUND(C30*G20,2)</f>
        <v>0</v>
      </c>
      <c r="E30" s="172">
        <f>ROUND(D30*$E$9,2)</f>
        <v>0</v>
      </c>
      <c r="F30" s="171">
        <f>ROUND((D30+E30)*$E$11,2)</f>
        <v>0</v>
      </c>
      <c r="G30" s="173">
        <f>SUM(D30:F30)</f>
        <v>0</v>
      </c>
    </row>
    <row r="31" spans="2:14" ht="15.75" thickBot="1" x14ac:dyDescent="0.3">
      <c r="B31" s="11"/>
      <c r="C31" s="12"/>
      <c r="D31" s="12"/>
      <c r="E31" s="12"/>
      <c r="F31" s="12"/>
      <c r="G31" s="33"/>
    </row>
    <row r="32" spans="2:14" ht="55.15" customHeight="1" thickBot="1" x14ac:dyDescent="0.3">
      <c r="B32" s="155" t="s">
        <v>158</v>
      </c>
      <c r="C32" s="35" t="s">
        <v>159</v>
      </c>
      <c r="D32" s="36" t="s">
        <v>149</v>
      </c>
      <c r="E32" s="35" t="s">
        <v>160</v>
      </c>
      <c r="F32" s="156" t="s">
        <v>161</v>
      </c>
      <c r="G32" s="36" t="s">
        <v>162</v>
      </c>
    </row>
    <row r="33" spans="2:14" x14ac:dyDescent="0.25">
      <c r="B33" s="157" t="s">
        <v>154</v>
      </c>
      <c r="C33" s="158">
        <v>0</v>
      </c>
      <c r="D33" s="159">
        <f>ROUND(C33*G20,2)</f>
        <v>0</v>
      </c>
      <c r="E33" s="160">
        <f t="shared" ref="E33:F36" si="3">E23</f>
        <v>0</v>
      </c>
      <c r="F33" s="161">
        <f t="shared" si="3"/>
        <v>0</v>
      </c>
      <c r="G33" s="162">
        <f>SUM(D33:F33)</f>
        <v>0</v>
      </c>
    </row>
    <row r="34" spans="2:14" x14ac:dyDescent="0.25">
      <c r="B34" s="163" t="s">
        <v>154</v>
      </c>
      <c r="C34" s="164">
        <v>0</v>
      </c>
      <c r="D34" s="165">
        <f>ROUND(C34*G20,2)</f>
        <v>0</v>
      </c>
      <c r="E34" s="166">
        <f t="shared" si="3"/>
        <v>0</v>
      </c>
      <c r="F34" s="165">
        <f t="shared" si="3"/>
        <v>0</v>
      </c>
      <c r="G34" s="167">
        <f>SUM(D34:F34)</f>
        <v>0</v>
      </c>
      <c r="N34" s="168"/>
    </row>
    <row r="35" spans="2:14" x14ac:dyDescent="0.25">
      <c r="B35" s="163" t="s">
        <v>155</v>
      </c>
      <c r="C35" s="164">
        <v>0</v>
      </c>
      <c r="D35" s="165">
        <f>ROUND(C35*G20,2)</f>
        <v>0</v>
      </c>
      <c r="E35" s="166">
        <f t="shared" si="3"/>
        <v>0</v>
      </c>
      <c r="F35" s="165">
        <f t="shared" si="3"/>
        <v>0</v>
      </c>
      <c r="G35" s="167">
        <f t="shared" ref="G35" si="4">SUM(D35:F35)</f>
        <v>0</v>
      </c>
    </row>
    <row r="36" spans="2:14" ht="15.75" thickBot="1" x14ac:dyDescent="0.3">
      <c r="B36" s="169" t="s">
        <v>156</v>
      </c>
      <c r="C36" s="170">
        <v>0</v>
      </c>
      <c r="D36" s="171">
        <f>ROUND(C36*G20,2)</f>
        <v>0</v>
      </c>
      <c r="E36" s="172">
        <f t="shared" si="3"/>
        <v>0</v>
      </c>
      <c r="F36" s="171">
        <f t="shared" si="3"/>
        <v>0</v>
      </c>
      <c r="G36" s="173">
        <f>SUM(D36:F36)</f>
        <v>0</v>
      </c>
    </row>
    <row r="37" spans="2:14" x14ac:dyDescent="0.25">
      <c r="B37" s="174" t="s">
        <v>163</v>
      </c>
      <c r="E37" s="6"/>
      <c r="F37" s="7"/>
      <c r="G37" s="6"/>
    </row>
    <row r="38" spans="2:14" x14ac:dyDescent="0.25">
      <c r="B38" s="174"/>
      <c r="E38" s="6"/>
      <c r="F38" s="7"/>
      <c r="G38" s="6"/>
    </row>
    <row r="39" spans="2:14" ht="18.75" customHeight="1" x14ac:dyDescent="0.25">
      <c r="B39" s="37"/>
      <c r="C39" s="37"/>
      <c r="D39" s="175"/>
      <c r="E39" t="s">
        <v>30</v>
      </c>
    </row>
    <row r="40" spans="2:14" x14ac:dyDescent="0.25">
      <c r="G40" s="78" t="str">
        <f>'Read Me'!$J$2</f>
        <v>Rev. 12-29-2023</v>
      </c>
    </row>
    <row r="42" spans="2:14" x14ac:dyDescent="0.25">
      <c r="E42" s="38"/>
    </row>
    <row r="43" spans="2:14" x14ac:dyDescent="0.25">
      <c r="G43" s="39"/>
    </row>
    <row r="44" spans="2:14" x14ac:dyDescent="0.25">
      <c r="G44" s="40"/>
    </row>
    <row r="45" spans="2:14" x14ac:dyDescent="0.25">
      <c r="G45" s="40"/>
    </row>
  </sheetData>
  <sheetProtection insertRows="0"/>
  <mergeCells count="9">
    <mergeCell ref="B16:C16"/>
    <mergeCell ref="B17:C17"/>
    <mergeCell ref="B18:C18"/>
    <mergeCell ref="B2:G3"/>
    <mergeCell ref="D5:E5"/>
    <mergeCell ref="D6:E6"/>
    <mergeCell ref="D7:E7"/>
    <mergeCell ref="B14:C14"/>
    <mergeCell ref="B15:C15"/>
  </mergeCells>
  <conditionalFormatting sqref="F15">
    <cfRule type="expression" dxfId="4" priority="4">
      <formula>$K$15&lt;&gt;TRUE</formula>
    </cfRule>
  </conditionalFormatting>
  <conditionalFormatting sqref="F18">
    <cfRule type="expression" dxfId="3" priority="3">
      <formula>$K$18&lt;&gt;TRUE</formula>
    </cfRule>
  </conditionalFormatting>
  <conditionalFormatting sqref="G15">
    <cfRule type="expression" dxfId="2" priority="5">
      <formula>$M$15&lt;&gt;TRUE</formula>
    </cfRule>
  </conditionalFormatting>
  <conditionalFormatting sqref="G18">
    <cfRule type="expression" dxfId="1" priority="2">
      <formula>$M$18&lt;&gt;TRUE</formula>
    </cfRule>
  </conditionalFormatting>
  <conditionalFormatting sqref="G20">
    <cfRule type="expression" dxfId="0" priority="1">
      <formula>$M$20&lt;&gt;TRUE</formula>
    </cfRule>
  </conditionalFormatting>
  <pageMargins left="0.7" right="0.7"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26058-C8B9-4350-AD47-8773E90D2EDF}">
  <dimension ref="A1:AN75"/>
  <sheetViews>
    <sheetView view="pageBreakPreview" zoomScaleNormal="80" zoomScaleSheetLayoutView="100" workbookViewId="0">
      <selection activeCell="J15" sqref="J15"/>
    </sheetView>
  </sheetViews>
  <sheetFormatPr defaultRowHeight="15" x14ac:dyDescent="0.25"/>
  <cols>
    <col min="2" max="2" width="20.42578125" bestFit="1" customWidth="1"/>
    <col min="3" max="3" width="9.140625" bestFit="1" customWidth="1"/>
    <col min="5" max="5" width="12.5703125" bestFit="1" customWidth="1"/>
    <col min="6" max="6" width="11.140625" bestFit="1" customWidth="1"/>
    <col min="7" max="7" width="15.7109375" bestFit="1" customWidth="1"/>
    <col min="8" max="8" width="12.7109375" bestFit="1" customWidth="1"/>
    <col min="9" max="9" width="13" customWidth="1"/>
    <col min="16" max="16" width="18.5703125" customWidth="1"/>
    <col min="18" max="18" width="20.42578125" bestFit="1" customWidth="1"/>
    <col min="19" max="20" width="20.42578125" customWidth="1"/>
    <col min="21" max="22" width="16.85546875" customWidth="1"/>
    <col min="23" max="24" width="11.5703125" customWidth="1"/>
    <col min="25" max="25" width="16.28515625" bestFit="1" customWidth="1"/>
    <col min="26" max="26" width="16.28515625" customWidth="1"/>
    <col min="29" max="29" width="11" bestFit="1" customWidth="1"/>
    <col min="31" max="31" width="9.85546875" bestFit="1" customWidth="1"/>
  </cols>
  <sheetData>
    <row r="1" spans="2:39" ht="15.75" thickBot="1" x14ac:dyDescent="0.3"/>
    <row r="2" spans="2:39" ht="45.75" thickBot="1" x14ac:dyDescent="0.3">
      <c r="B2" s="70" t="s">
        <v>31</v>
      </c>
      <c r="C2" s="71" t="s">
        <v>57</v>
      </c>
      <c r="D2" s="71" t="s">
        <v>58</v>
      </c>
      <c r="E2" s="71" t="s">
        <v>59</v>
      </c>
      <c r="F2" s="71" t="s">
        <v>34</v>
      </c>
      <c r="G2" s="71" t="s">
        <v>35</v>
      </c>
      <c r="H2" s="71" t="s">
        <v>60</v>
      </c>
      <c r="I2" s="72" t="s">
        <v>56</v>
      </c>
      <c r="J2" s="42"/>
      <c r="N2" s="41" t="s">
        <v>66</v>
      </c>
      <c r="O2" s="41" t="s">
        <v>49</v>
      </c>
      <c r="P2" s="41" t="s">
        <v>67</v>
      </c>
      <c r="Q2" s="41" t="s">
        <v>55</v>
      </c>
      <c r="R2" s="41" t="s">
        <v>36</v>
      </c>
      <c r="S2" s="41"/>
      <c r="T2" s="41"/>
      <c r="U2" s="41" t="s">
        <v>68</v>
      </c>
      <c r="V2" s="41"/>
      <c r="W2" s="41"/>
      <c r="X2" s="41"/>
      <c r="Y2" s="41" t="s">
        <v>51</v>
      </c>
      <c r="Z2" s="42"/>
      <c r="AC2" s="219" t="s">
        <v>63</v>
      </c>
      <c r="AD2" s="219"/>
      <c r="AE2" s="219"/>
    </row>
    <row r="3" spans="2:39" ht="15.75" thickBot="1" x14ac:dyDescent="0.3">
      <c r="B3" s="65" t="s">
        <v>46</v>
      </c>
      <c r="C3" s="66" t="s">
        <v>37</v>
      </c>
      <c r="D3" s="66"/>
      <c r="E3" s="73">
        <f>'Salary Rate Calc.'!$D$10</f>
        <v>3.7499999999999999E-2</v>
      </c>
      <c r="F3" s="66"/>
      <c r="G3" s="66"/>
      <c r="H3" s="66"/>
      <c r="I3" s="67"/>
      <c r="N3" s="20" t="b">
        <f t="shared" ref="N3:N34" si="0">O3&lt;=MATCH($D$9,$O$3:$O$69)-1</f>
        <v>1</v>
      </c>
      <c r="O3" s="20">
        <v>0</v>
      </c>
      <c r="P3" s="20">
        <f>IF(N3=TRUE,O3+0.5,NA())</f>
        <v>0.5</v>
      </c>
      <c r="Q3" s="20">
        <f t="shared" ref="Q3:Q34" si="1">O3-$D$7</f>
        <v>-6</v>
      </c>
      <c r="R3" s="56">
        <f t="shared" ref="R3:R34" si="2">IF(N3=TRUE,(1+$E$3)^(O3/12),"")</f>
        <v>1</v>
      </c>
      <c r="S3" s="56">
        <f>R3</f>
        <v>1</v>
      </c>
      <c r="T3" s="56"/>
      <c r="U3" s="23" t="str">
        <f t="shared" ref="U3:U34" si="3">IF(Q3&lt;0,"",R3)</f>
        <v/>
      </c>
      <c r="V3" s="23"/>
      <c r="W3" s="20">
        <f t="shared" ref="W3:W34" si="4">IF(N4=TRUE,O3+0.5,NA())</f>
        <v>0.5</v>
      </c>
      <c r="X3" s="20" t="e">
        <f t="shared" ref="X3:X34" si="5">IF(AND(N3=TRUE,Q3&gt;=0),W3,NA())</f>
        <v>#N/A</v>
      </c>
      <c r="Y3" s="56" t="str">
        <f t="shared" ref="Y3:Y34" si="6">IF(ISNA(X3),"",(1+$E$3)^(W3/12))</f>
        <v/>
      </c>
      <c r="Z3" s="54"/>
      <c r="AA3" s="54" t="str">
        <f>IF(ISNA(X3),"",(1+$E$3)^(W3/12))</f>
        <v/>
      </c>
      <c r="AB3" s="54"/>
      <c r="AC3" s="56" t="s">
        <v>64</v>
      </c>
      <c r="AD3" s="56" t="s">
        <v>32</v>
      </c>
      <c r="AE3" s="56" t="s">
        <v>33</v>
      </c>
      <c r="AF3" s="54"/>
      <c r="AG3" s="54"/>
      <c r="AH3" s="25"/>
    </row>
    <row r="4" spans="2:39" ht="15.75" thickBot="1" x14ac:dyDescent="0.3">
      <c r="B4" s="65"/>
      <c r="C4" s="66"/>
      <c r="D4" s="66"/>
      <c r="E4" s="148"/>
      <c r="F4" s="66"/>
      <c r="G4" s="66"/>
      <c r="H4" s="66"/>
      <c r="I4" s="67"/>
      <c r="J4" s="46"/>
      <c r="K4" s="25"/>
      <c r="L4" s="25"/>
      <c r="M4" s="25"/>
      <c r="N4" s="20" t="b">
        <f t="shared" si="0"/>
        <v>1</v>
      </c>
      <c r="O4" s="20">
        <v>1</v>
      </c>
      <c r="P4" s="20">
        <f t="shared" ref="P4:P67" si="7">IF(N4=TRUE,O4+0.5,NA())</f>
        <v>1.5</v>
      </c>
      <c r="Q4" s="20">
        <f t="shared" si="1"/>
        <v>-5</v>
      </c>
      <c r="R4" s="56">
        <f t="shared" si="2"/>
        <v>1.0030725417032555</v>
      </c>
      <c r="S4" s="56">
        <f>S3+R4</f>
        <v>2.0030725417032555</v>
      </c>
      <c r="T4" s="56"/>
      <c r="U4" s="23" t="str">
        <f t="shared" si="3"/>
        <v/>
      </c>
      <c r="V4" s="23"/>
      <c r="W4" s="20">
        <f t="shared" si="4"/>
        <v>1.5</v>
      </c>
      <c r="X4" s="20" t="e">
        <f t="shared" si="5"/>
        <v>#N/A</v>
      </c>
      <c r="Y4" s="56" t="str">
        <f t="shared" si="6"/>
        <v/>
      </c>
      <c r="Z4" s="54"/>
      <c r="AA4" s="54" t="str">
        <f>IF(ISNA(X4),"",(1+$E$3)^(W4/12))</f>
        <v/>
      </c>
      <c r="AB4" s="54"/>
      <c r="AC4" s="75" t="s">
        <v>50</v>
      </c>
      <c r="AD4" s="75">
        <f>$D$7+0.5</f>
        <v>6.5</v>
      </c>
      <c r="AE4" s="49">
        <f>E5</f>
        <v>1</v>
      </c>
      <c r="AF4" s="54"/>
      <c r="AG4" s="54"/>
      <c r="AH4" s="25"/>
    </row>
    <row r="5" spans="2:39" x14ac:dyDescent="0.25">
      <c r="B5" s="144" t="s">
        <v>38</v>
      </c>
      <c r="C5" s="48"/>
      <c r="D5" s="48">
        <v>0</v>
      </c>
      <c r="E5" s="145">
        <f>(1+$E$3)^(D5/12)</f>
        <v>1</v>
      </c>
      <c r="F5" s="146">
        <f>12*(($E$3+1)^(D5/12))/LN($E$3+1)</f>
        <v>325.96318685839674</v>
      </c>
      <c r="G5" s="146"/>
      <c r="H5" s="48"/>
      <c r="I5" s="147"/>
      <c r="J5" s="47"/>
      <c r="K5" s="43"/>
      <c r="L5" s="43"/>
      <c r="M5" s="43"/>
      <c r="N5" s="20" t="b">
        <f t="shared" si="0"/>
        <v>1</v>
      </c>
      <c r="O5" s="20">
        <v>2</v>
      </c>
      <c r="P5" s="20">
        <f t="shared" si="7"/>
        <v>2.5</v>
      </c>
      <c r="Q5" s="20">
        <f t="shared" si="1"/>
        <v>-4</v>
      </c>
      <c r="R5" s="56">
        <f t="shared" si="2"/>
        <v>1.0061545239190293</v>
      </c>
      <c r="S5" s="56">
        <f t="shared" ref="S5:S45" si="8">S4+R5</f>
        <v>3.0092270656222846</v>
      </c>
      <c r="T5" s="56"/>
      <c r="U5" s="23" t="str">
        <f t="shared" si="3"/>
        <v/>
      </c>
      <c r="V5" s="23"/>
      <c r="W5" s="20">
        <f t="shared" si="4"/>
        <v>2.5</v>
      </c>
      <c r="X5" s="20" t="e">
        <f t="shared" si="5"/>
        <v>#N/A</v>
      </c>
      <c r="Y5" s="56" t="str">
        <f t="shared" si="6"/>
        <v/>
      </c>
      <c r="Z5" s="54"/>
      <c r="AA5" s="54" t="str">
        <f>IF(ISNA(X5),"",(1+$E$3)^(W5/12))</f>
        <v/>
      </c>
      <c r="AB5" s="54"/>
      <c r="AC5" s="20" t="s">
        <v>50</v>
      </c>
      <c r="AD5" s="75">
        <f>$D$7+0.5</f>
        <v>6.5</v>
      </c>
      <c r="AE5" s="24">
        <f>E9+(0.1*(E9-1))</f>
        <v>1.1512700628116259</v>
      </c>
      <c r="AF5" s="54"/>
      <c r="AG5" s="54"/>
      <c r="AH5" s="25"/>
    </row>
    <row r="6" spans="2:39" x14ac:dyDescent="0.25">
      <c r="B6" s="144" t="s">
        <v>117</v>
      </c>
      <c r="C6" s="48"/>
      <c r="D6" s="48">
        <f>D7-D5</f>
        <v>6</v>
      </c>
      <c r="E6" s="145"/>
      <c r="F6" s="146"/>
      <c r="G6" s="146">
        <f>F7-F5</f>
        <v>6.0555613417465111</v>
      </c>
      <c r="H6" s="48"/>
      <c r="I6" s="147"/>
      <c r="J6" s="47"/>
      <c r="K6" s="25"/>
      <c r="L6" s="25"/>
      <c r="M6" s="25"/>
      <c r="N6" s="20" t="b">
        <f t="shared" si="0"/>
        <v>1</v>
      </c>
      <c r="O6" s="20">
        <v>3</v>
      </c>
      <c r="P6" s="20">
        <f t="shared" si="7"/>
        <v>3.5</v>
      </c>
      <c r="Q6" s="20">
        <f t="shared" si="1"/>
        <v>-3</v>
      </c>
      <c r="R6" s="56">
        <f t="shared" si="2"/>
        <v>1.0092459756536898</v>
      </c>
      <c r="S6" s="56">
        <f t="shared" si="8"/>
        <v>4.0184730412759748</v>
      </c>
      <c r="T6" s="56"/>
      <c r="U6" s="23" t="str">
        <f t="shared" si="3"/>
        <v/>
      </c>
      <c r="V6" s="23"/>
      <c r="W6" s="20">
        <f t="shared" si="4"/>
        <v>3.5</v>
      </c>
      <c r="X6" s="20" t="e">
        <f t="shared" si="5"/>
        <v>#N/A</v>
      </c>
      <c r="Y6" s="56" t="str">
        <f t="shared" si="6"/>
        <v/>
      </c>
      <c r="Z6" s="54"/>
      <c r="AA6" s="54" t="str">
        <f>IF(ISNA(X6),"",(1+$E$3)^(W6/12))</f>
        <v/>
      </c>
      <c r="AB6" s="54"/>
      <c r="AC6" s="75" t="s">
        <v>39</v>
      </c>
      <c r="AD6" s="75">
        <f>$D$9+0.5</f>
        <v>42.5</v>
      </c>
      <c r="AE6" s="49">
        <f>E5</f>
        <v>1</v>
      </c>
      <c r="AF6" s="54"/>
      <c r="AG6" s="54"/>
      <c r="AH6" s="25"/>
    </row>
    <row r="7" spans="2:39" x14ac:dyDescent="0.25">
      <c r="B7" s="57" t="s">
        <v>47</v>
      </c>
      <c r="C7" s="20" t="s">
        <v>44</v>
      </c>
      <c r="D7" s="74">
        <f>'Salary Rate Calc.'!$E$12</f>
        <v>6</v>
      </c>
      <c r="E7" s="49">
        <f>(1+$E$3)^(D7/12)</f>
        <v>1.0185774393731681</v>
      </c>
      <c r="F7" s="45">
        <f>12*(($E$3+1)^(D7/12))/LN($E$3+1)</f>
        <v>332.01874820014325</v>
      </c>
      <c r="G7" s="23"/>
      <c r="H7" s="20"/>
      <c r="I7" s="58"/>
      <c r="J7" s="47"/>
      <c r="K7" s="43"/>
      <c r="L7" s="43"/>
      <c r="M7" s="43"/>
      <c r="N7" s="20" t="b">
        <f t="shared" si="0"/>
        <v>1</v>
      </c>
      <c r="O7" s="20">
        <v>4</v>
      </c>
      <c r="P7" s="20">
        <f t="shared" si="7"/>
        <v>4.5</v>
      </c>
      <c r="Q7" s="20">
        <f t="shared" si="1"/>
        <v>-2</v>
      </c>
      <c r="R7" s="56">
        <f t="shared" si="2"/>
        <v>1.0123469260027285</v>
      </c>
      <c r="S7" s="56">
        <f t="shared" si="8"/>
        <v>5.0308199672787035</v>
      </c>
      <c r="T7" s="56"/>
      <c r="U7" s="23" t="str">
        <f t="shared" si="3"/>
        <v/>
      </c>
      <c r="V7" s="23"/>
      <c r="W7" s="20">
        <f t="shared" si="4"/>
        <v>4.5</v>
      </c>
      <c r="X7" s="20" t="e">
        <f t="shared" si="5"/>
        <v>#N/A</v>
      </c>
      <c r="Y7" s="56" t="str">
        <f t="shared" si="6"/>
        <v/>
      </c>
      <c r="Z7" s="54"/>
      <c r="AA7" s="54" t="str">
        <f>IF(ISNA(X7),"",(1+$E$3)^(W7/12))</f>
        <v/>
      </c>
      <c r="AB7" s="54"/>
      <c r="AC7" s="76" t="s">
        <v>39</v>
      </c>
      <c r="AD7" s="75">
        <f>$D$9+0.5</f>
        <v>42.5</v>
      </c>
      <c r="AE7" s="49">
        <f>E9+(0.1*(E9-1))</f>
        <v>1.1512700628116259</v>
      </c>
      <c r="AF7" s="54"/>
      <c r="AG7" s="54"/>
      <c r="AH7" s="25"/>
    </row>
    <row r="8" spans="2:39" x14ac:dyDescent="0.25">
      <c r="B8" s="57" t="s">
        <v>48</v>
      </c>
      <c r="C8" s="20"/>
      <c r="D8" s="74">
        <f>'Salary Rate Calc.'!$E$15</f>
        <v>36</v>
      </c>
      <c r="E8" s="20"/>
      <c r="F8" s="23"/>
      <c r="G8" s="45">
        <f>F9-F7</f>
        <v>38.770322067660175</v>
      </c>
      <c r="H8" s="69">
        <f>G8/D8</f>
        <v>1.0769533907683382</v>
      </c>
      <c r="I8" s="149">
        <f>12*LN(H8)/LN(1+$E$3)</f>
        <v>24.165646043483964</v>
      </c>
      <c r="J8" s="47"/>
      <c r="N8" s="20" t="b">
        <f t="shared" si="0"/>
        <v>1</v>
      </c>
      <c r="O8" s="20">
        <v>5</v>
      </c>
      <c r="P8" s="20">
        <f t="shared" si="7"/>
        <v>5.5</v>
      </c>
      <c r="Q8" s="20">
        <f t="shared" si="1"/>
        <v>-1</v>
      </c>
      <c r="R8" s="56">
        <f t="shared" si="2"/>
        <v>1.0154574041510345</v>
      </c>
      <c r="S8" s="56">
        <f t="shared" si="8"/>
        <v>6.0462773714297384</v>
      </c>
      <c r="T8" s="56"/>
      <c r="U8" s="23" t="str">
        <f t="shared" si="3"/>
        <v/>
      </c>
      <c r="V8" s="23"/>
      <c r="W8" s="20">
        <f t="shared" si="4"/>
        <v>5.5</v>
      </c>
      <c r="X8" s="20" t="e">
        <f t="shared" si="5"/>
        <v>#N/A</v>
      </c>
      <c r="Y8" s="56" t="str">
        <f t="shared" si="6"/>
        <v/>
      </c>
      <c r="Z8" s="54"/>
      <c r="AA8" s="44"/>
      <c r="AB8" s="44"/>
      <c r="AC8" s="45" t="s">
        <v>52</v>
      </c>
      <c r="AD8" s="76">
        <f>I8+0.5</f>
        <v>24.665646043483964</v>
      </c>
      <c r="AE8" s="49">
        <f>H8</f>
        <v>1.0769533907683382</v>
      </c>
      <c r="AF8" s="44"/>
      <c r="AG8" s="44"/>
      <c r="AH8">
        <v>0</v>
      </c>
      <c r="AJ8" t="s">
        <v>38</v>
      </c>
      <c r="AK8" t="s">
        <v>39</v>
      </c>
      <c r="AM8" t="s">
        <v>40</v>
      </c>
    </row>
    <row r="9" spans="2:39" ht="15.75" thickBot="1" x14ac:dyDescent="0.3">
      <c r="B9" s="59" t="s">
        <v>61</v>
      </c>
      <c r="C9" s="60" t="s">
        <v>45</v>
      </c>
      <c r="D9" s="60">
        <f>D7+D8</f>
        <v>42</v>
      </c>
      <c r="E9" s="61">
        <f>(1+$E$3)^(D9/12)</f>
        <v>1.1375182389196599</v>
      </c>
      <c r="F9" s="62">
        <f>12*(($E$3+1)^(D9/12))/LN($E$3+1)</f>
        <v>370.78907026780342</v>
      </c>
      <c r="G9" s="63"/>
      <c r="H9" s="60"/>
      <c r="I9" s="64"/>
      <c r="K9" s="25"/>
      <c r="L9" s="25"/>
      <c r="N9" s="20" t="b">
        <f t="shared" si="0"/>
        <v>1</v>
      </c>
      <c r="O9" s="20">
        <v>6</v>
      </c>
      <c r="P9" s="20">
        <f t="shared" si="7"/>
        <v>6.5</v>
      </c>
      <c r="Q9" s="20">
        <f t="shared" si="1"/>
        <v>0</v>
      </c>
      <c r="R9" s="56">
        <f t="shared" si="2"/>
        <v>1.0185774393731681</v>
      </c>
      <c r="S9" s="56">
        <f t="shared" si="8"/>
        <v>7.0648548108029061</v>
      </c>
      <c r="T9" s="56"/>
      <c r="U9" s="23">
        <f t="shared" si="3"/>
        <v>1.0185774393731681</v>
      </c>
      <c r="V9" s="23">
        <f t="shared" ref="V9:V45" si="9">V8+U9</f>
        <v>1.0185774393731681</v>
      </c>
      <c r="W9" s="20">
        <f t="shared" si="4"/>
        <v>6.5</v>
      </c>
      <c r="X9" s="20">
        <f t="shared" si="5"/>
        <v>6.5</v>
      </c>
      <c r="Y9" s="56">
        <f>IF(ISNA(X9),"",(1+$E$3)^(W9/12))</f>
        <v>1.020141050059808</v>
      </c>
      <c r="Z9" s="54">
        <f>Z8+Y9</f>
        <v>1.020141050059808</v>
      </c>
      <c r="AA9" s="25">
        <f>(S9+S10)/2</f>
        <v>7.575708341319725</v>
      </c>
      <c r="AB9" s="25"/>
      <c r="AC9" s="45" t="s">
        <v>53</v>
      </c>
      <c r="AD9" s="75">
        <f>AD4</f>
        <v>6.5</v>
      </c>
      <c r="AE9" s="49">
        <f>E7</f>
        <v>1.0185774393731681</v>
      </c>
      <c r="AH9">
        <f>$D$7/12</f>
        <v>0.5</v>
      </c>
      <c r="AI9">
        <v>0</v>
      </c>
      <c r="AJ9" s="39">
        <v>1</v>
      </c>
      <c r="AK9" s="40">
        <f t="shared" ref="AK9:AK14" si="10">(1+$E$3)^AH9</f>
        <v>1.0185774393731681</v>
      </c>
      <c r="AL9" s="40">
        <f t="shared" ref="AL9:AL14" si="11">IF(AK9&lt;=$E$9,AK9,$E$9)</f>
        <v>1.0185774393731681</v>
      </c>
      <c r="AM9" s="40">
        <f>(AL9+AJ9)/2</f>
        <v>1.0092887196865841</v>
      </c>
    </row>
    <row r="10" spans="2:39" x14ac:dyDescent="0.25">
      <c r="B10" s="77" t="s">
        <v>62</v>
      </c>
      <c r="K10" s="25"/>
      <c r="L10" s="25"/>
      <c r="M10" s="25"/>
      <c r="N10" s="20" t="b">
        <f t="shared" si="0"/>
        <v>1</v>
      </c>
      <c r="O10" s="20">
        <v>7</v>
      </c>
      <c r="P10" s="20">
        <f t="shared" si="7"/>
        <v>7.5</v>
      </c>
      <c r="Q10" s="20">
        <f t="shared" si="1"/>
        <v>1</v>
      </c>
      <c r="R10" s="56">
        <f t="shared" si="2"/>
        <v>1.0217070610336374</v>
      </c>
      <c r="S10" s="56">
        <f t="shared" si="8"/>
        <v>8.086561871836544</v>
      </c>
      <c r="T10" s="56"/>
      <c r="U10" s="23">
        <f t="shared" si="3"/>
        <v>1.0217070610336374</v>
      </c>
      <c r="V10" s="23">
        <f t="shared" si="9"/>
        <v>2.0402845004068055</v>
      </c>
      <c r="W10" s="20">
        <f t="shared" si="4"/>
        <v>7.5</v>
      </c>
      <c r="X10" s="20">
        <f t="shared" si="5"/>
        <v>7.5</v>
      </c>
      <c r="Y10" s="56">
        <f t="shared" si="6"/>
        <v>1.0232754759793197</v>
      </c>
      <c r="Z10" s="54">
        <f t="shared" ref="Z10:Z44" si="12">Z9+Y10</f>
        <v>2.0434165260391275</v>
      </c>
      <c r="AA10" s="25">
        <f t="shared" ref="AA10:AA44" si="13">(S10+S11)/2</f>
        <v>8.5989850211301313</v>
      </c>
      <c r="AB10" s="25"/>
      <c r="AC10" s="45" t="s">
        <v>54</v>
      </c>
      <c r="AD10" s="75">
        <f>AD6</f>
        <v>42.5</v>
      </c>
      <c r="AE10" s="49">
        <f>E9</f>
        <v>1.1375182389196599</v>
      </c>
      <c r="AF10" s="44"/>
      <c r="AG10" s="44"/>
      <c r="AH10">
        <f>AH9+1</f>
        <v>1.5</v>
      </c>
      <c r="AI10">
        <v>1</v>
      </c>
      <c r="AJ10" s="40">
        <f>AK9</f>
        <v>1.0185774393731681</v>
      </c>
      <c r="AK10" s="40">
        <f t="shared" si="10"/>
        <v>1.0567740933496621</v>
      </c>
      <c r="AL10" s="40">
        <f t="shared" si="11"/>
        <v>1.0567740933496621</v>
      </c>
      <c r="AM10" s="40">
        <f t="shared" ref="AM10:AM14" si="14">(AL10+AJ10)/2</f>
        <v>1.0376757663614151</v>
      </c>
    </row>
    <row r="11" spans="2:39" x14ac:dyDescent="0.25">
      <c r="B11" s="77" t="s">
        <v>65</v>
      </c>
      <c r="K11" s="25"/>
      <c r="L11" s="25"/>
      <c r="M11" s="25"/>
      <c r="N11" s="20" t="b">
        <f t="shared" si="0"/>
        <v>1</v>
      </c>
      <c r="O11" s="20">
        <v>8</v>
      </c>
      <c r="P11" s="20">
        <f t="shared" si="7"/>
        <v>8.5</v>
      </c>
      <c r="Q11" s="20">
        <f t="shared" si="1"/>
        <v>2</v>
      </c>
      <c r="R11" s="56">
        <f t="shared" si="2"/>
        <v>1.024846298587174</v>
      </c>
      <c r="S11" s="56">
        <f t="shared" si="8"/>
        <v>9.1114081704237186</v>
      </c>
      <c r="T11" s="56"/>
      <c r="U11" s="23">
        <f t="shared" si="3"/>
        <v>1.024846298587174</v>
      </c>
      <c r="V11" s="23">
        <f t="shared" si="9"/>
        <v>3.0651307989939793</v>
      </c>
      <c r="W11" s="20">
        <f t="shared" si="4"/>
        <v>8.5</v>
      </c>
      <c r="X11" s="20">
        <f t="shared" si="5"/>
        <v>8.5</v>
      </c>
      <c r="Y11" s="56">
        <f t="shared" si="6"/>
        <v>1.0264195325531849</v>
      </c>
      <c r="Z11" s="54">
        <f t="shared" si="12"/>
        <v>3.0698360585923123</v>
      </c>
      <c r="AA11" s="25">
        <f t="shared" si="13"/>
        <v>9.6254057612132229</v>
      </c>
      <c r="AB11" s="25"/>
      <c r="AF11" s="50"/>
      <c r="AG11" s="50"/>
      <c r="AH11">
        <f t="shared" ref="AH11:AH13" si="15">AH10+1</f>
        <v>2.5</v>
      </c>
      <c r="AI11">
        <v>2</v>
      </c>
      <c r="AJ11" s="40">
        <f t="shared" ref="AJ11:AJ13" si="16">AK10</f>
        <v>1.0567740933496621</v>
      </c>
      <c r="AK11" s="40">
        <f t="shared" si="10"/>
        <v>1.0964031218502746</v>
      </c>
      <c r="AL11" s="40">
        <f t="shared" si="11"/>
        <v>1.0964031218502746</v>
      </c>
      <c r="AM11" s="40">
        <f t="shared" si="14"/>
        <v>1.0765886075999682</v>
      </c>
    </row>
    <row r="12" spans="2:39" x14ac:dyDescent="0.25">
      <c r="F12" s="42"/>
      <c r="G12" s="46"/>
      <c r="M12" s="25"/>
      <c r="N12" s="20" t="b">
        <f t="shared" si="0"/>
        <v>1</v>
      </c>
      <c r="O12" s="20">
        <v>9</v>
      </c>
      <c r="P12" s="20">
        <f t="shared" si="7"/>
        <v>9.5</v>
      </c>
      <c r="Q12" s="20">
        <f t="shared" si="1"/>
        <v>3</v>
      </c>
      <c r="R12" s="56">
        <f t="shared" si="2"/>
        <v>1.0279951815790103</v>
      </c>
      <c r="S12" s="56">
        <f t="shared" si="8"/>
        <v>10.139403352002729</v>
      </c>
      <c r="T12" s="56"/>
      <c r="U12" s="23">
        <f t="shared" si="3"/>
        <v>1.0279951815790103</v>
      </c>
      <c r="V12" s="23">
        <f t="shared" si="9"/>
        <v>4.0931259805729896</v>
      </c>
      <c r="W12" s="20">
        <f t="shared" si="4"/>
        <v>9.5</v>
      </c>
      <c r="X12" s="20">
        <f t="shared" si="5"/>
        <v>9.5</v>
      </c>
      <c r="Y12" s="56">
        <f t="shared" si="6"/>
        <v>1.0295732493719905</v>
      </c>
      <c r="Z12" s="54">
        <f t="shared" si="12"/>
        <v>4.0994093079643026</v>
      </c>
      <c r="AA12" s="25">
        <f t="shared" si="13"/>
        <v>10.654980221825308</v>
      </c>
      <c r="AB12" s="25"/>
      <c r="AF12" s="25"/>
      <c r="AG12" s="25"/>
      <c r="AH12">
        <f t="shared" si="15"/>
        <v>3.5</v>
      </c>
      <c r="AI12">
        <v>3</v>
      </c>
      <c r="AJ12" s="40">
        <f t="shared" si="16"/>
        <v>1.0964031218502746</v>
      </c>
      <c r="AK12" s="40">
        <f t="shared" si="10"/>
        <v>1.1375182389196599</v>
      </c>
      <c r="AL12" s="40">
        <f t="shared" si="11"/>
        <v>1.1375182389196599</v>
      </c>
      <c r="AM12" s="40">
        <f t="shared" si="14"/>
        <v>1.1169606803849672</v>
      </c>
    </row>
    <row r="13" spans="2:39" x14ac:dyDescent="0.25">
      <c r="C13" s="51"/>
      <c r="D13" s="51"/>
      <c r="F13" s="46"/>
      <c r="G13" s="53"/>
      <c r="N13" s="20" t="b">
        <f t="shared" si="0"/>
        <v>1</v>
      </c>
      <c r="O13" s="20">
        <v>10</v>
      </c>
      <c r="P13" s="20">
        <f t="shared" si="7"/>
        <v>10.5</v>
      </c>
      <c r="Q13" s="20">
        <f t="shared" si="1"/>
        <v>4</v>
      </c>
      <c r="R13" s="56">
        <f t="shared" si="2"/>
        <v>1.0311537396451573</v>
      </c>
      <c r="S13" s="56">
        <f t="shared" si="8"/>
        <v>11.170557091647886</v>
      </c>
      <c r="T13" s="56"/>
      <c r="U13" s="23">
        <f t="shared" si="3"/>
        <v>1.0311537396451573</v>
      </c>
      <c r="V13" s="23">
        <f t="shared" si="9"/>
        <v>5.1242797202181469</v>
      </c>
      <c r="W13" s="20">
        <f t="shared" si="4"/>
        <v>10.5</v>
      </c>
      <c r="X13" s="20">
        <f t="shared" si="5"/>
        <v>10.5</v>
      </c>
      <c r="Y13" s="56">
        <f t="shared" si="6"/>
        <v>1.0327366561172422</v>
      </c>
      <c r="Z13" s="54">
        <f t="shared" si="12"/>
        <v>5.1321459640815448</v>
      </c>
      <c r="AA13" s="25">
        <f t="shared" si="13"/>
        <v>11.687718092904229</v>
      </c>
      <c r="AB13" s="25"/>
      <c r="AF13" s="25"/>
      <c r="AG13" s="25"/>
      <c r="AH13">
        <f t="shared" si="15"/>
        <v>4.5</v>
      </c>
      <c r="AI13">
        <v>4</v>
      </c>
      <c r="AJ13" s="40">
        <f t="shared" si="16"/>
        <v>1.1375182389196599</v>
      </c>
      <c r="AK13" s="40">
        <f t="shared" si="10"/>
        <v>1.1801751728791472</v>
      </c>
      <c r="AL13" s="40">
        <f t="shared" si="11"/>
        <v>1.1375182389196599</v>
      </c>
      <c r="AM13" s="40">
        <f t="shared" si="14"/>
        <v>1.1375182389196599</v>
      </c>
    </row>
    <row r="14" spans="2:39" x14ac:dyDescent="0.25">
      <c r="C14" s="51"/>
      <c r="D14" s="51"/>
      <c r="F14" s="46"/>
      <c r="G14" s="46"/>
      <c r="N14" s="20" t="b">
        <f t="shared" si="0"/>
        <v>1</v>
      </c>
      <c r="O14" s="20">
        <v>11</v>
      </c>
      <c r="P14" s="20">
        <f t="shared" si="7"/>
        <v>11.5</v>
      </c>
      <c r="Q14" s="20">
        <f t="shared" si="1"/>
        <v>5</v>
      </c>
      <c r="R14" s="56">
        <f t="shared" si="2"/>
        <v>1.0343220025126851</v>
      </c>
      <c r="S14" s="56">
        <f t="shared" si="8"/>
        <v>12.204879094160571</v>
      </c>
      <c r="T14" s="56"/>
      <c r="U14" s="23">
        <f t="shared" si="3"/>
        <v>1.0343220025126851</v>
      </c>
      <c r="V14" s="23">
        <f t="shared" si="9"/>
        <v>6.1586017227308325</v>
      </c>
      <c r="W14" s="20">
        <f t="shared" si="4"/>
        <v>11.5</v>
      </c>
      <c r="X14" s="20">
        <f t="shared" si="5"/>
        <v>11.5</v>
      </c>
      <c r="Y14" s="56">
        <f t="shared" si="6"/>
        <v>1.0359097825616432</v>
      </c>
      <c r="Z14" s="54">
        <f t="shared" si="12"/>
        <v>6.168055746643188</v>
      </c>
      <c r="AA14" s="25">
        <f t="shared" si="13"/>
        <v>12.723629094160572</v>
      </c>
      <c r="AB14" s="25"/>
      <c r="AF14" s="25"/>
      <c r="AG14" s="25"/>
      <c r="AH14">
        <f>AH13+1</f>
        <v>5.5</v>
      </c>
      <c r="AI14">
        <v>5</v>
      </c>
      <c r="AJ14" s="40">
        <f>AK13</f>
        <v>1.1801751728791472</v>
      </c>
      <c r="AK14" s="40">
        <f t="shared" si="10"/>
        <v>1.2244317418621153</v>
      </c>
      <c r="AL14" s="40">
        <f t="shared" si="11"/>
        <v>1.1375182389196599</v>
      </c>
      <c r="AM14" s="40">
        <f t="shared" si="14"/>
        <v>1.1588467058994034</v>
      </c>
    </row>
    <row r="15" spans="2:39" x14ac:dyDescent="0.25">
      <c r="C15" s="51"/>
      <c r="D15" s="51"/>
      <c r="F15" s="43"/>
      <c r="G15" s="39"/>
      <c r="N15" s="20" t="b">
        <f t="shared" si="0"/>
        <v>1</v>
      </c>
      <c r="O15" s="20">
        <v>12</v>
      </c>
      <c r="P15" s="20">
        <f t="shared" si="7"/>
        <v>12.5</v>
      </c>
      <c r="Q15" s="20">
        <f t="shared" si="1"/>
        <v>6</v>
      </c>
      <c r="R15" s="56">
        <f t="shared" si="2"/>
        <v>1.0375000000000001</v>
      </c>
      <c r="S15" s="56">
        <f t="shared" si="8"/>
        <v>13.242379094160571</v>
      </c>
      <c r="T15" s="56"/>
      <c r="U15" s="23">
        <f t="shared" si="3"/>
        <v>1.0375000000000001</v>
      </c>
      <c r="V15" s="23">
        <f t="shared" si="9"/>
        <v>7.1961017227308322</v>
      </c>
      <c r="W15" s="20">
        <f t="shared" si="4"/>
        <v>12.5</v>
      </c>
      <c r="X15" s="20">
        <f t="shared" si="5"/>
        <v>12.5</v>
      </c>
      <c r="Y15" s="56">
        <f t="shared" si="6"/>
        <v>1.0390926585693743</v>
      </c>
      <c r="Z15" s="54">
        <f t="shared" si="12"/>
        <v>7.2071484052125623</v>
      </c>
      <c r="AA15" s="25">
        <f t="shared" si="13"/>
        <v>13.762722975169133</v>
      </c>
      <c r="AB15" s="25"/>
      <c r="AC15" s="25"/>
      <c r="AD15" s="25"/>
      <c r="AE15" s="25"/>
      <c r="AF15" s="25"/>
      <c r="AG15" s="25"/>
    </row>
    <row r="16" spans="2:39" x14ac:dyDescent="0.25">
      <c r="N16" s="20" t="b">
        <f t="shared" si="0"/>
        <v>1</v>
      </c>
      <c r="O16" s="20">
        <v>13</v>
      </c>
      <c r="P16" s="20">
        <f t="shared" si="7"/>
        <v>13.5</v>
      </c>
      <c r="Q16" s="20">
        <f t="shared" si="1"/>
        <v>7</v>
      </c>
      <c r="R16" s="56">
        <f t="shared" si="2"/>
        <v>1.0406877620171278</v>
      </c>
      <c r="S16" s="56">
        <f t="shared" si="8"/>
        <v>14.283066856177697</v>
      </c>
      <c r="T16" s="56"/>
      <c r="U16" s="23">
        <f t="shared" si="3"/>
        <v>1.0406877620171278</v>
      </c>
      <c r="V16" s="23">
        <f t="shared" si="9"/>
        <v>8.236789484747959</v>
      </c>
      <c r="W16" s="20">
        <f t="shared" si="4"/>
        <v>13.5</v>
      </c>
      <c r="X16" s="20">
        <f t="shared" si="5"/>
        <v>13.5</v>
      </c>
      <c r="Y16" s="56">
        <f t="shared" si="6"/>
        <v>1.0422853140963753</v>
      </c>
      <c r="Z16" s="54">
        <f t="shared" si="12"/>
        <v>8.2494337193089375</v>
      </c>
      <c r="AA16" s="25">
        <f t="shared" si="13"/>
        <v>14.805009515460693</v>
      </c>
      <c r="AB16" s="25"/>
      <c r="AC16" s="25"/>
      <c r="AD16" s="25"/>
      <c r="AE16" s="25"/>
      <c r="AF16" s="25"/>
      <c r="AG16" s="25"/>
    </row>
    <row r="17" spans="14:40" x14ac:dyDescent="0.25">
      <c r="N17" s="20" t="b">
        <f t="shared" si="0"/>
        <v>1</v>
      </c>
      <c r="O17" s="20">
        <v>14</v>
      </c>
      <c r="P17" s="20">
        <f t="shared" si="7"/>
        <v>14.5</v>
      </c>
      <c r="Q17" s="20">
        <f t="shared" si="1"/>
        <v>8</v>
      </c>
      <c r="R17" s="56">
        <f t="shared" si="2"/>
        <v>1.0438853185659931</v>
      </c>
      <c r="S17" s="56">
        <f t="shared" si="8"/>
        <v>15.32695217474369</v>
      </c>
      <c r="T17" s="56"/>
      <c r="U17" s="23">
        <f t="shared" si="3"/>
        <v>1.0438853185659931</v>
      </c>
      <c r="V17" s="23">
        <f t="shared" si="9"/>
        <v>9.2806748033139517</v>
      </c>
      <c r="W17" s="20">
        <f t="shared" si="4"/>
        <v>14.5</v>
      </c>
      <c r="X17" s="20">
        <f t="shared" si="5"/>
        <v>14.5</v>
      </c>
      <c r="Y17" s="56">
        <f t="shared" si="6"/>
        <v>1.0454877791906272</v>
      </c>
      <c r="Z17" s="54">
        <f t="shared" si="12"/>
        <v>9.2949214984995656</v>
      </c>
      <c r="AA17" s="25">
        <f t="shared" si="13"/>
        <v>15.850498524614043</v>
      </c>
      <c r="AB17" s="25"/>
      <c r="AC17" s="25"/>
      <c r="AD17" s="25"/>
      <c r="AE17" s="25"/>
      <c r="AF17" s="25"/>
      <c r="AG17" s="25"/>
      <c r="AL17" s="43"/>
    </row>
    <row r="18" spans="14:40" x14ac:dyDescent="0.25">
      <c r="N18" s="20" t="b">
        <f t="shared" si="0"/>
        <v>1</v>
      </c>
      <c r="O18" s="20">
        <v>15</v>
      </c>
      <c r="P18" s="20">
        <f t="shared" si="7"/>
        <v>15.5</v>
      </c>
      <c r="Q18" s="20">
        <f t="shared" si="1"/>
        <v>9</v>
      </c>
      <c r="R18" s="56">
        <f t="shared" si="2"/>
        <v>1.0470926997407033</v>
      </c>
      <c r="S18" s="56">
        <f t="shared" si="8"/>
        <v>16.374044874484394</v>
      </c>
      <c r="T18" s="56"/>
      <c r="U18" s="23">
        <f t="shared" si="3"/>
        <v>1.0470926997407033</v>
      </c>
      <c r="V18" s="23">
        <f t="shared" si="9"/>
        <v>10.327767503054655</v>
      </c>
      <c r="W18" s="20">
        <f t="shared" si="4"/>
        <v>15.5</v>
      </c>
      <c r="X18" s="20">
        <f t="shared" si="5"/>
        <v>15.5</v>
      </c>
      <c r="Y18" s="56">
        <f t="shared" si="6"/>
        <v>1.0487000839924345</v>
      </c>
      <c r="Z18" s="54">
        <f t="shared" si="12"/>
        <v>10.343621582492</v>
      </c>
      <c r="AA18" s="25">
        <f t="shared" si="13"/>
        <v>16.89919984234831</v>
      </c>
      <c r="AB18" s="25"/>
      <c r="AC18" s="25"/>
      <c r="AD18" s="25"/>
      <c r="AE18" s="25"/>
      <c r="AF18" s="25"/>
      <c r="AG18" s="25"/>
      <c r="AI18">
        <v>0</v>
      </c>
      <c r="AJ18">
        <f>AI18</f>
        <v>0</v>
      </c>
      <c r="AK18">
        <f>AJ18-$AH$19</f>
        <v>-6</v>
      </c>
      <c r="AL18" s="25">
        <f t="shared" ref="AL18:AL23" si="17">(1+$E$3)^(AJ18/12)</f>
        <v>1</v>
      </c>
      <c r="AM18">
        <f>AJ18</f>
        <v>0</v>
      </c>
      <c r="AN18" s="25">
        <f t="shared" ref="AN18:AN23" si="18">(1+$E$3)^(AM18/12)</f>
        <v>1</v>
      </c>
    </row>
    <row r="19" spans="14:40" x14ac:dyDescent="0.25">
      <c r="N19" s="20" t="b">
        <f t="shared" si="0"/>
        <v>1</v>
      </c>
      <c r="O19" s="20">
        <v>16</v>
      </c>
      <c r="P19" s="20">
        <f t="shared" si="7"/>
        <v>16.5</v>
      </c>
      <c r="Q19" s="20">
        <f t="shared" si="1"/>
        <v>10</v>
      </c>
      <c r="R19" s="56">
        <f t="shared" si="2"/>
        <v>1.0503099357278309</v>
      </c>
      <c r="S19" s="56">
        <f t="shared" si="8"/>
        <v>17.424354810212225</v>
      </c>
      <c r="T19" s="56"/>
      <c r="U19" s="23">
        <f t="shared" si="3"/>
        <v>1.0503099357278309</v>
      </c>
      <c r="V19" s="23">
        <f t="shared" si="9"/>
        <v>11.378077438782487</v>
      </c>
      <c r="W19" s="20">
        <f t="shared" si="4"/>
        <v>16.5</v>
      </c>
      <c r="X19" s="20">
        <f t="shared" si="5"/>
        <v>16.5</v>
      </c>
      <c r="Y19" s="56">
        <f t="shared" si="6"/>
        <v>1.0519222587347088</v>
      </c>
      <c r="Z19" s="54">
        <f t="shared" si="12"/>
        <v>11.39554384122671</v>
      </c>
      <c r="AA19" s="25">
        <f t="shared" si="13"/>
        <v>17.951123338615574</v>
      </c>
      <c r="AB19" s="25"/>
      <c r="AC19" s="25"/>
      <c r="AD19" s="25"/>
      <c r="AE19" s="25"/>
      <c r="AF19" s="25"/>
      <c r="AG19" s="25"/>
      <c r="AH19">
        <f>D7</f>
        <v>6</v>
      </c>
      <c r="AI19">
        <f>AH19</f>
        <v>6</v>
      </c>
      <c r="AJ19">
        <f>AJ18+AI19</f>
        <v>6</v>
      </c>
      <c r="AK19">
        <f t="shared" ref="AK19:AK23" si="19">AJ19-$AH$19</f>
        <v>0</v>
      </c>
      <c r="AL19" s="25">
        <f t="shared" si="17"/>
        <v>1.0185774393731681</v>
      </c>
      <c r="AM19">
        <f>AJ19</f>
        <v>6</v>
      </c>
      <c r="AN19" s="25">
        <f t="shared" si="18"/>
        <v>1.0185774393731681</v>
      </c>
    </row>
    <row r="20" spans="14:40" x14ac:dyDescent="0.25">
      <c r="N20" s="20" t="b">
        <f t="shared" si="0"/>
        <v>1</v>
      </c>
      <c r="O20" s="20">
        <v>17</v>
      </c>
      <c r="P20" s="20">
        <f t="shared" si="7"/>
        <v>17.5</v>
      </c>
      <c r="Q20" s="20">
        <f t="shared" si="1"/>
        <v>11</v>
      </c>
      <c r="R20" s="56">
        <f t="shared" si="2"/>
        <v>1.0535370568066984</v>
      </c>
      <c r="S20" s="56">
        <f t="shared" si="8"/>
        <v>18.477891867018926</v>
      </c>
      <c r="T20" s="56"/>
      <c r="U20" s="23">
        <f t="shared" si="3"/>
        <v>1.0535370568066984</v>
      </c>
      <c r="V20" s="23">
        <f t="shared" si="9"/>
        <v>12.431614495589185</v>
      </c>
      <c r="W20" s="20">
        <f t="shared" si="4"/>
        <v>17.5</v>
      </c>
      <c r="X20" s="20">
        <f t="shared" si="5"/>
        <v>17.5</v>
      </c>
      <c r="Y20" s="56">
        <f t="shared" si="6"/>
        <v>1.0551543337432538</v>
      </c>
      <c r="Z20" s="54">
        <f t="shared" si="12"/>
        <v>12.450698174969963</v>
      </c>
      <c r="AA20" s="25">
        <f t="shared" si="13"/>
        <v>19.006278913693755</v>
      </c>
      <c r="AB20" s="25"/>
      <c r="AC20" s="25"/>
      <c r="AD20" s="25"/>
      <c r="AE20" s="25"/>
      <c r="AF20" s="25"/>
      <c r="AG20" s="25"/>
      <c r="AH20">
        <f>D8</f>
        <v>36</v>
      </c>
      <c r="AI20">
        <f t="shared" ref="AI20:AI22" si="20">IF(AH20&gt;12,12,AH20)</f>
        <v>12</v>
      </c>
      <c r="AJ20">
        <f t="shared" ref="AJ20:AJ23" si="21">AJ19+AI20</f>
        <v>18</v>
      </c>
      <c r="AK20">
        <f t="shared" si="19"/>
        <v>12</v>
      </c>
      <c r="AL20" s="25">
        <f t="shared" si="17"/>
        <v>1.0567740933496621</v>
      </c>
      <c r="AM20">
        <f>AI20/2+AJ19</f>
        <v>12</v>
      </c>
      <c r="AN20" s="25">
        <f t="shared" si="18"/>
        <v>1.0375000000000001</v>
      </c>
    </row>
    <row r="21" spans="14:40" x14ac:dyDescent="0.25">
      <c r="N21" s="20" t="b">
        <f t="shared" si="0"/>
        <v>1</v>
      </c>
      <c r="O21" s="20">
        <v>18</v>
      </c>
      <c r="P21" s="20">
        <f t="shared" si="7"/>
        <v>18.5</v>
      </c>
      <c r="Q21" s="20">
        <f t="shared" si="1"/>
        <v>12</v>
      </c>
      <c r="R21" s="56">
        <f t="shared" si="2"/>
        <v>1.0567740933496621</v>
      </c>
      <c r="S21" s="56">
        <f t="shared" si="8"/>
        <v>19.534665960368589</v>
      </c>
      <c r="T21" s="56"/>
      <c r="U21" s="23">
        <f t="shared" si="3"/>
        <v>1.0567740933496621</v>
      </c>
      <c r="V21" s="23">
        <f t="shared" si="9"/>
        <v>13.488388588938847</v>
      </c>
      <c r="W21" s="20">
        <f t="shared" si="4"/>
        <v>18.5</v>
      </c>
      <c r="X21" s="20">
        <f t="shared" si="5"/>
        <v>18.5</v>
      </c>
      <c r="Y21" s="56">
        <f t="shared" si="6"/>
        <v>1.0583963394370508</v>
      </c>
      <c r="Z21" s="54">
        <f t="shared" si="12"/>
        <v>13.509094514407014</v>
      </c>
      <c r="AA21" s="25">
        <f t="shared" si="13"/>
        <v>20.064676498279788</v>
      </c>
      <c r="AB21" s="25"/>
      <c r="AC21" s="25"/>
      <c r="AD21" s="25"/>
      <c r="AE21" s="25"/>
      <c r="AF21" s="25"/>
      <c r="AG21" s="25"/>
      <c r="AH21">
        <f>AH20-AI20</f>
        <v>24</v>
      </c>
      <c r="AI21">
        <f t="shared" si="20"/>
        <v>12</v>
      </c>
      <c r="AJ21">
        <f t="shared" si="21"/>
        <v>30</v>
      </c>
      <c r="AK21">
        <f t="shared" si="19"/>
        <v>24</v>
      </c>
      <c r="AL21" s="25">
        <f t="shared" si="17"/>
        <v>1.0964031218502746</v>
      </c>
      <c r="AM21">
        <f>AI21/2+AJ20</f>
        <v>24</v>
      </c>
      <c r="AN21" s="25">
        <f t="shared" si="18"/>
        <v>1.0764062500000002</v>
      </c>
    </row>
    <row r="22" spans="14:40" x14ac:dyDescent="0.25">
      <c r="N22" s="20" t="b">
        <f t="shared" si="0"/>
        <v>1</v>
      </c>
      <c r="O22" s="20">
        <v>19</v>
      </c>
      <c r="P22" s="20">
        <f t="shared" si="7"/>
        <v>19.5</v>
      </c>
      <c r="Q22" s="20">
        <f t="shared" si="1"/>
        <v>13</v>
      </c>
      <c r="R22" s="56">
        <f t="shared" si="2"/>
        <v>1.0600210758223989</v>
      </c>
      <c r="S22" s="56">
        <f t="shared" si="8"/>
        <v>20.594687036190987</v>
      </c>
      <c r="T22" s="56"/>
      <c r="U22" s="23">
        <f t="shared" si="3"/>
        <v>1.0600210758223989</v>
      </c>
      <c r="V22" s="23">
        <f t="shared" si="9"/>
        <v>14.548409664761245</v>
      </c>
      <c r="W22" s="20">
        <f t="shared" si="4"/>
        <v>19.5</v>
      </c>
      <c r="X22" s="20">
        <f t="shared" si="5"/>
        <v>19.5</v>
      </c>
      <c r="Y22" s="56">
        <f t="shared" si="6"/>
        <v>1.0616483063285442</v>
      </c>
      <c r="Z22" s="54">
        <f t="shared" si="12"/>
        <v>14.570742820735559</v>
      </c>
      <c r="AA22" s="25">
        <f t="shared" si="13"/>
        <v>21.126326053583085</v>
      </c>
      <c r="AB22" s="25"/>
      <c r="AC22" s="25"/>
      <c r="AD22" s="25"/>
      <c r="AE22" s="25"/>
      <c r="AF22" s="25"/>
      <c r="AG22" s="25"/>
      <c r="AH22">
        <f>AH21-AI21</f>
        <v>12</v>
      </c>
      <c r="AI22">
        <f t="shared" si="20"/>
        <v>12</v>
      </c>
      <c r="AJ22">
        <f t="shared" si="21"/>
        <v>42</v>
      </c>
      <c r="AK22">
        <f t="shared" si="19"/>
        <v>36</v>
      </c>
      <c r="AL22" s="25">
        <f t="shared" si="17"/>
        <v>1.1375182389196599</v>
      </c>
      <c r="AM22">
        <f>AI22/2+AJ21</f>
        <v>36</v>
      </c>
      <c r="AN22" s="25">
        <f t="shared" si="18"/>
        <v>1.1167714843750003</v>
      </c>
    </row>
    <row r="23" spans="14:40" x14ac:dyDescent="0.25">
      <c r="N23" s="20" t="b">
        <f t="shared" si="0"/>
        <v>1</v>
      </c>
      <c r="O23" s="20">
        <v>20</v>
      </c>
      <c r="P23" s="20">
        <f t="shared" si="7"/>
        <v>20.5</v>
      </c>
      <c r="Q23" s="20">
        <f t="shared" si="1"/>
        <v>14</v>
      </c>
      <c r="R23" s="56">
        <f t="shared" si="2"/>
        <v>1.063278034784193</v>
      </c>
      <c r="S23" s="56">
        <f t="shared" si="8"/>
        <v>21.65796507097518</v>
      </c>
      <c r="T23" s="56"/>
      <c r="U23" s="23">
        <f t="shared" si="3"/>
        <v>1.063278034784193</v>
      </c>
      <c r="V23" s="23">
        <f t="shared" si="9"/>
        <v>15.611687699545438</v>
      </c>
      <c r="W23" s="20">
        <f t="shared" si="4"/>
        <v>20.5</v>
      </c>
      <c r="X23" s="20">
        <f t="shared" si="5"/>
        <v>20.5</v>
      </c>
      <c r="Y23" s="56">
        <f t="shared" si="6"/>
        <v>1.0649102650239293</v>
      </c>
      <c r="Z23" s="54">
        <f t="shared" si="12"/>
        <v>15.635653085759488</v>
      </c>
      <c r="AA23" s="25">
        <f t="shared" si="13"/>
        <v>22.191237571419293</v>
      </c>
      <c r="AB23" s="25"/>
      <c r="AC23" s="25"/>
      <c r="AD23" s="25"/>
      <c r="AE23" s="25"/>
      <c r="AF23" s="25"/>
      <c r="AG23" s="25"/>
      <c r="AH23">
        <f>AH22-AI22</f>
        <v>0</v>
      </c>
      <c r="AI23">
        <f>IF(AH23&gt;12,12,AH23)</f>
        <v>0</v>
      </c>
      <c r="AJ23">
        <f t="shared" si="21"/>
        <v>42</v>
      </c>
      <c r="AK23">
        <f t="shared" si="19"/>
        <v>36</v>
      </c>
      <c r="AL23" s="25">
        <f t="shared" si="17"/>
        <v>1.1375182389196599</v>
      </c>
      <c r="AM23">
        <f>AI23/2+AJ22</f>
        <v>42</v>
      </c>
      <c r="AN23" s="25">
        <f t="shared" si="18"/>
        <v>1.1375182389196599</v>
      </c>
    </row>
    <row r="24" spans="14:40" x14ac:dyDescent="0.25">
      <c r="N24" s="20" t="b">
        <f t="shared" si="0"/>
        <v>1</v>
      </c>
      <c r="O24" s="20">
        <v>21</v>
      </c>
      <c r="P24" s="20">
        <f t="shared" si="7"/>
        <v>21.5</v>
      </c>
      <c r="Q24" s="20">
        <f t="shared" si="1"/>
        <v>15</v>
      </c>
      <c r="R24" s="56">
        <f t="shared" si="2"/>
        <v>1.0665450008882231</v>
      </c>
      <c r="S24" s="56">
        <f t="shared" si="8"/>
        <v>22.724510071863403</v>
      </c>
      <c r="T24" s="56"/>
      <c r="U24" s="23">
        <f t="shared" si="3"/>
        <v>1.0665450008882231</v>
      </c>
      <c r="V24" s="23">
        <f t="shared" si="9"/>
        <v>16.678232700433661</v>
      </c>
      <c r="W24" s="20">
        <f t="shared" si="4"/>
        <v>21.5</v>
      </c>
      <c r="X24" s="20">
        <f t="shared" si="5"/>
        <v>21.5</v>
      </c>
      <c r="Y24" s="56">
        <f t="shared" si="6"/>
        <v>1.0681822462234403</v>
      </c>
      <c r="Z24" s="54">
        <f t="shared" si="12"/>
        <v>16.70383533198293</v>
      </c>
      <c r="AA24" s="25">
        <f t="shared" si="13"/>
        <v>23.259421074304328</v>
      </c>
      <c r="AB24" s="25"/>
      <c r="AF24" s="25"/>
      <c r="AG24" s="25"/>
      <c r="AJ24" s="51"/>
      <c r="AK24" s="51"/>
      <c r="AL24" s="43"/>
    </row>
    <row r="25" spans="14:40" x14ac:dyDescent="0.25">
      <c r="N25" s="20" t="b">
        <f t="shared" si="0"/>
        <v>1</v>
      </c>
      <c r="O25" s="20">
        <v>22</v>
      </c>
      <c r="P25" s="20">
        <f t="shared" si="7"/>
        <v>22.5</v>
      </c>
      <c r="Q25" s="20">
        <f t="shared" si="1"/>
        <v>16</v>
      </c>
      <c r="R25" s="56">
        <f t="shared" si="2"/>
        <v>1.069822004881851</v>
      </c>
      <c r="S25" s="56">
        <f t="shared" si="8"/>
        <v>23.794332076745253</v>
      </c>
      <c r="T25" s="56"/>
      <c r="U25" s="23">
        <f t="shared" si="3"/>
        <v>1.069822004881851</v>
      </c>
      <c r="V25" s="23">
        <f t="shared" si="9"/>
        <v>17.748054705315511</v>
      </c>
      <c r="W25" s="20">
        <f t="shared" si="4"/>
        <v>22.5</v>
      </c>
      <c r="X25" s="20">
        <f t="shared" si="5"/>
        <v>22.5</v>
      </c>
      <c r="Y25" s="56">
        <f t="shared" si="6"/>
        <v>1.071464280721639</v>
      </c>
      <c r="Z25" s="54">
        <f t="shared" si="12"/>
        <v>17.775299612704568</v>
      </c>
      <c r="AA25" s="25">
        <f t="shared" si="13"/>
        <v>24.330886615548707</v>
      </c>
      <c r="AB25" s="25"/>
      <c r="AF25" s="25"/>
      <c r="AG25" s="25"/>
      <c r="AJ25" s="51"/>
      <c r="AK25" s="51"/>
      <c r="AL25" s="43"/>
    </row>
    <row r="26" spans="14:40" x14ac:dyDescent="0.25">
      <c r="N26" s="20" t="b">
        <f t="shared" si="0"/>
        <v>1</v>
      </c>
      <c r="O26" s="20">
        <v>23</v>
      </c>
      <c r="P26" s="20">
        <f t="shared" si="7"/>
        <v>23.5</v>
      </c>
      <c r="Q26" s="20">
        <f t="shared" si="1"/>
        <v>17</v>
      </c>
      <c r="R26" s="56">
        <f t="shared" si="2"/>
        <v>1.0731090776069108</v>
      </c>
      <c r="S26" s="56">
        <f t="shared" si="8"/>
        <v>24.867441154352164</v>
      </c>
      <c r="T26" s="56"/>
      <c r="U26" s="23">
        <f t="shared" si="3"/>
        <v>1.0731090776069108</v>
      </c>
      <c r="V26" s="23">
        <f t="shared" si="9"/>
        <v>18.821163782922422</v>
      </c>
      <c r="W26" s="20">
        <f t="shared" si="4"/>
        <v>23.5</v>
      </c>
      <c r="X26" s="20">
        <f t="shared" si="5"/>
        <v>23.5</v>
      </c>
      <c r="Y26" s="56">
        <f t="shared" si="6"/>
        <v>1.074756399407705</v>
      </c>
      <c r="Z26" s="54">
        <f t="shared" si="12"/>
        <v>18.850056012112272</v>
      </c>
      <c r="AA26" s="25">
        <f t="shared" si="13"/>
        <v>25.405644279352167</v>
      </c>
      <c r="AB26" s="25"/>
      <c r="AF26" s="25"/>
      <c r="AG26" s="25"/>
      <c r="AJ26" s="51"/>
      <c r="AK26" s="51"/>
      <c r="AL26" s="43"/>
    </row>
    <row r="27" spans="14:40" x14ac:dyDescent="0.25">
      <c r="N27" s="20" t="b">
        <f t="shared" si="0"/>
        <v>1</v>
      </c>
      <c r="O27" s="20">
        <v>24</v>
      </c>
      <c r="P27" s="20">
        <f t="shared" si="7"/>
        <v>24.5</v>
      </c>
      <c r="Q27" s="20">
        <f t="shared" si="1"/>
        <v>18</v>
      </c>
      <c r="R27" s="56">
        <f t="shared" si="2"/>
        <v>1.0764062500000002</v>
      </c>
      <c r="S27" s="56">
        <f t="shared" si="8"/>
        <v>25.943847404352166</v>
      </c>
      <c r="T27" s="56"/>
      <c r="U27" s="23">
        <f t="shared" si="3"/>
        <v>1.0764062500000002</v>
      </c>
      <c r="V27" s="23">
        <f t="shared" si="9"/>
        <v>19.897570032922424</v>
      </c>
      <c r="W27" s="20">
        <f t="shared" si="4"/>
        <v>24.5</v>
      </c>
      <c r="X27" s="20">
        <f t="shared" si="5"/>
        <v>24.5</v>
      </c>
      <c r="Y27" s="56">
        <f t="shared" si="6"/>
        <v>1.0780586332657258</v>
      </c>
      <c r="Z27" s="54">
        <f t="shared" si="12"/>
        <v>19.928114645377999</v>
      </c>
      <c r="AA27" s="25">
        <f t="shared" si="13"/>
        <v>26.483704180898549</v>
      </c>
      <c r="AB27" s="25"/>
      <c r="AF27" s="25"/>
      <c r="AG27" s="25"/>
      <c r="AJ27" s="51"/>
      <c r="AK27" s="51"/>
      <c r="AL27" s="43"/>
    </row>
    <row r="28" spans="14:40" x14ac:dyDescent="0.25">
      <c r="N28" s="20" t="b">
        <f t="shared" si="0"/>
        <v>1</v>
      </c>
      <c r="O28" s="20">
        <v>25</v>
      </c>
      <c r="P28" s="20">
        <f t="shared" si="7"/>
        <v>25.5</v>
      </c>
      <c r="Q28" s="20">
        <f t="shared" si="1"/>
        <v>19</v>
      </c>
      <c r="R28" s="56">
        <f t="shared" si="2"/>
        <v>1.0797135530927702</v>
      </c>
      <c r="S28" s="56">
        <f t="shared" si="8"/>
        <v>27.023560957444936</v>
      </c>
      <c r="T28" s="56"/>
      <c r="U28" s="23">
        <f t="shared" si="3"/>
        <v>1.0797135530927702</v>
      </c>
      <c r="V28" s="23">
        <f t="shared" si="9"/>
        <v>20.977283586015194</v>
      </c>
      <c r="W28" s="20">
        <f t="shared" si="4"/>
        <v>25.5</v>
      </c>
      <c r="X28" s="20">
        <f t="shared" si="5"/>
        <v>25.5</v>
      </c>
      <c r="Y28" s="56">
        <f t="shared" si="6"/>
        <v>1.0813710133749894</v>
      </c>
      <c r="Z28" s="54">
        <f t="shared" si="12"/>
        <v>21.00948565875299</v>
      </c>
      <c r="AA28" s="25">
        <f t="shared" si="13"/>
        <v>27.565076466451046</v>
      </c>
      <c r="AB28" s="25"/>
      <c r="AF28" s="25"/>
      <c r="AG28" s="25"/>
      <c r="AJ28" s="51"/>
      <c r="AK28" s="51"/>
      <c r="AL28" s="43"/>
    </row>
    <row r="29" spans="14:40" x14ac:dyDescent="0.25">
      <c r="N29" s="20" t="b">
        <f t="shared" si="0"/>
        <v>1</v>
      </c>
      <c r="O29" s="20">
        <v>26</v>
      </c>
      <c r="P29" s="20">
        <f t="shared" si="7"/>
        <v>26.5</v>
      </c>
      <c r="Q29" s="20">
        <f t="shared" si="1"/>
        <v>20</v>
      </c>
      <c r="R29" s="56">
        <f t="shared" si="2"/>
        <v>1.0830310180122178</v>
      </c>
      <c r="S29" s="56">
        <f t="shared" si="8"/>
        <v>28.106591975457153</v>
      </c>
      <c r="T29" s="56"/>
      <c r="U29" s="23">
        <f t="shared" si="3"/>
        <v>1.0830310180122178</v>
      </c>
      <c r="V29" s="23">
        <f t="shared" si="9"/>
        <v>22.060314604027411</v>
      </c>
      <c r="W29" s="20">
        <f t="shared" si="4"/>
        <v>26.5</v>
      </c>
      <c r="X29" s="20">
        <f t="shared" si="5"/>
        <v>26.5</v>
      </c>
      <c r="Y29" s="56">
        <f t="shared" si="6"/>
        <v>1.0846935709102759</v>
      </c>
      <c r="Z29" s="54">
        <f t="shared" si="12"/>
        <v>22.094179229663265</v>
      </c>
      <c r="AA29" s="25">
        <f t="shared" si="13"/>
        <v>28.649771313447644</v>
      </c>
      <c r="AB29" s="25"/>
      <c r="AF29" s="25"/>
      <c r="AG29" s="25"/>
    </row>
    <row r="30" spans="14:40" x14ac:dyDescent="0.25">
      <c r="N30" s="20" t="b">
        <f t="shared" si="0"/>
        <v>1</v>
      </c>
      <c r="O30" s="20">
        <v>27</v>
      </c>
      <c r="P30" s="20">
        <f t="shared" si="7"/>
        <v>27.5</v>
      </c>
      <c r="Q30" s="20">
        <f t="shared" si="1"/>
        <v>21</v>
      </c>
      <c r="R30" s="56">
        <f t="shared" si="2"/>
        <v>1.0863586759809798</v>
      </c>
      <c r="S30" s="56">
        <f t="shared" si="8"/>
        <v>29.192950651438132</v>
      </c>
      <c r="T30" s="56"/>
      <c r="U30" s="23">
        <f t="shared" si="3"/>
        <v>1.0863586759809798</v>
      </c>
      <c r="V30" s="23">
        <f t="shared" si="9"/>
        <v>23.14667328000839</v>
      </c>
      <c r="W30" s="20">
        <f t="shared" si="4"/>
        <v>27.5</v>
      </c>
      <c r="X30" s="20">
        <f t="shared" si="5"/>
        <v>27.5</v>
      </c>
      <c r="Y30" s="56">
        <f t="shared" si="6"/>
        <v>1.0880263371421508</v>
      </c>
      <c r="Z30" s="54">
        <f t="shared" si="12"/>
        <v>23.182205566805415</v>
      </c>
      <c r="AA30" s="25">
        <f t="shared" si="13"/>
        <v>29.737798930596945</v>
      </c>
      <c r="AB30" s="25"/>
      <c r="AF30" s="25"/>
      <c r="AG30" s="25"/>
    </row>
    <row r="31" spans="14:40" x14ac:dyDescent="0.25">
      <c r="N31" s="20" t="b">
        <f t="shared" si="0"/>
        <v>1</v>
      </c>
      <c r="O31" s="20">
        <v>28</v>
      </c>
      <c r="P31" s="20">
        <f t="shared" si="7"/>
        <v>28.5</v>
      </c>
      <c r="Q31" s="20">
        <f t="shared" si="1"/>
        <v>22</v>
      </c>
      <c r="R31" s="56">
        <f t="shared" si="2"/>
        <v>1.0896965583176248</v>
      </c>
      <c r="S31" s="56">
        <f t="shared" si="8"/>
        <v>30.282647209755755</v>
      </c>
      <c r="T31" s="56"/>
      <c r="U31" s="23">
        <f t="shared" si="3"/>
        <v>1.0896965583176248</v>
      </c>
      <c r="V31" s="23">
        <f t="shared" si="9"/>
        <v>24.236369838326013</v>
      </c>
      <c r="W31" s="20">
        <f t="shared" si="4"/>
        <v>28.5</v>
      </c>
      <c r="X31" s="20">
        <f t="shared" si="5"/>
        <v>28.5</v>
      </c>
      <c r="Y31" s="56">
        <f t="shared" si="6"/>
        <v>1.0913693434372604</v>
      </c>
      <c r="Z31" s="54">
        <f t="shared" si="12"/>
        <v>24.273574910242676</v>
      </c>
      <c r="AA31" s="25">
        <f t="shared" si="13"/>
        <v>30.829169557974229</v>
      </c>
      <c r="AB31" s="25"/>
      <c r="AF31" s="25"/>
      <c r="AG31" s="25"/>
    </row>
    <row r="32" spans="14:40" x14ac:dyDescent="0.25">
      <c r="N32" s="20" t="b">
        <f t="shared" si="0"/>
        <v>1</v>
      </c>
      <c r="O32" s="20">
        <v>29</v>
      </c>
      <c r="P32" s="20">
        <f t="shared" si="7"/>
        <v>29.5</v>
      </c>
      <c r="Q32" s="20">
        <f t="shared" si="1"/>
        <v>23</v>
      </c>
      <c r="R32" s="56">
        <f t="shared" si="2"/>
        <v>1.0930446964369496</v>
      </c>
      <c r="S32" s="56">
        <f t="shared" si="8"/>
        <v>31.375691906192703</v>
      </c>
      <c r="T32" s="56"/>
      <c r="U32" s="23">
        <f t="shared" si="3"/>
        <v>1.0930446964369496</v>
      </c>
      <c r="V32" s="23">
        <f t="shared" si="9"/>
        <v>25.329414534762961</v>
      </c>
      <c r="W32" s="20">
        <f t="shared" si="4"/>
        <v>29.5</v>
      </c>
      <c r="X32" s="20">
        <f t="shared" si="5"/>
        <v>29.5</v>
      </c>
      <c r="Y32" s="56">
        <f t="shared" si="6"/>
        <v>1.0947226212586261</v>
      </c>
      <c r="Z32" s="54">
        <f t="shared" si="12"/>
        <v>25.368297531501302</v>
      </c>
      <c r="AA32" s="25">
        <f t="shared" si="13"/>
        <v>31.923893467117843</v>
      </c>
      <c r="AB32" s="25"/>
      <c r="AF32" s="25"/>
      <c r="AG32" s="25"/>
    </row>
    <row r="33" spans="1:33" x14ac:dyDescent="0.25">
      <c r="N33" s="20" t="b">
        <f t="shared" si="0"/>
        <v>1</v>
      </c>
      <c r="O33" s="20">
        <v>30</v>
      </c>
      <c r="P33" s="20">
        <f t="shared" si="7"/>
        <v>30.5</v>
      </c>
      <c r="Q33" s="20">
        <f t="shared" si="1"/>
        <v>24</v>
      </c>
      <c r="R33" s="56">
        <f t="shared" si="2"/>
        <v>1.0964031218502746</v>
      </c>
      <c r="S33" s="56">
        <f t="shared" si="8"/>
        <v>32.472095028042979</v>
      </c>
      <c r="T33" s="56"/>
      <c r="U33" s="23">
        <f t="shared" si="3"/>
        <v>1.0964031218502746</v>
      </c>
      <c r="V33" s="23">
        <f t="shared" si="9"/>
        <v>26.425817656613237</v>
      </c>
      <c r="W33" s="20">
        <f t="shared" si="4"/>
        <v>30.5</v>
      </c>
      <c r="X33" s="20">
        <f t="shared" si="5"/>
        <v>30.5</v>
      </c>
      <c r="Y33" s="56">
        <f t="shared" si="6"/>
        <v>1.0980862021659403</v>
      </c>
      <c r="Z33" s="54">
        <f t="shared" si="12"/>
        <v>26.466383733667243</v>
      </c>
      <c r="AA33" s="25">
        <f t="shared" si="13"/>
        <v>33.021980961125848</v>
      </c>
      <c r="AB33" s="25"/>
      <c r="AC33" s="25"/>
      <c r="AD33" s="25"/>
      <c r="AE33" s="25"/>
      <c r="AF33" s="25"/>
      <c r="AG33" s="25"/>
    </row>
    <row r="34" spans="1:33" x14ac:dyDescent="0.25">
      <c r="N34" s="20" t="b">
        <f t="shared" si="0"/>
        <v>1</v>
      </c>
      <c r="O34" s="20">
        <v>31</v>
      </c>
      <c r="P34" s="20">
        <f t="shared" si="7"/>
        <v>31.5</v>
      </c>
      <c r="Q34" s="20">
        <f t="shared" si="1"/>
        <v>25</v>
      </c>
      <c r="R34" s="56">
        <f t="shared" si="2"/>
        <v>1.099771866165739</v>
      </c>
      <c r="S34" s="56">
        <f t="shared" si="8"/>
        <v>33.571866894208718</v>
      </c>
      <c r="T34" s="56"/>
      <c r="U34" s="23">
        <f t="shared" si="3"/>
        <v>1.099771866165739</v>
      </c>
      <c r="V34" s="23">
        <f t="shared" si="9"/>
        <v>27.525589522778976</v>
      </c>
      <c r="W34" s="20">
        <f t="shared" si="4"/>
        <v>31.5</v>
      </c>
      <c r="X34" s="20">
        <f t="shared" si="5"/>
        <v>31.5</v>
      </c>
      <c r="Y34" s="56">
        <f t="shared" si="6"/>
        <v>1.1014601178158647</v>
      </c>
      <c r="Z34" s="54">
        <f t="shared" si="12"/>
        <v>27.567843851483108</v>
      </c>
      <c r="AA34" s="25">
        <f t="shared" si="13"/>
        <v>34.123442374753019</v>
      </c>
      <c r="AB34" s="25"/>
      <c r="AC34" s="25"/>
      <c r="AD34" s="25"/>
      <c r="AE34" s="25"/>
      <c r="AF34" s="25"/>
      <c r="AG34" s="25"/>
    </row>
    <row r="35" spans="1:33" x14ac:dyDescent="0.25">
      <c r="N35" s="20" t="b">
        <f t="shared" ref="N35:N66" si="22">O35&lt;=MATCH($D$9,$O$3:$O$69)-1</f>
        <v>1</v>
      </c>
      <c r="O35" s="20">
        <v>32</v>
      </c>
      <c r="P35" s="20">
        <f t="shared" si="7"/>
        <v>32.5</v>
      </c>
      <c r="Q35" s="20">
        <f t="shared" ref="Q35:Q69" si="23">O35-$D$7</f>
        <v>26</v>
      </c>
      <c r="R35" s="56">
        <f t="shared" ref="R35:R69" si="24">IF(N35=TRUE,(1+$E$3)^(O35/12),"")</f>
        <v>1.1031509610886003</v>
      </c>
      <c r="S35" s="56">
        <f t="shared" si="8"/>
        <v>34.67501785529732</v>
      </c>
      <c r="T35" s="56"/>
      <c r="U35" s="23">
        <f t="shared" ref="U35:U66" si="25">IF(Q35&lt;0,"",R35)</f>
        <v>1.1031509610886003</v>
      </c>
      <c r="V35" s="23">
        <f t="shared" si="9"/>
        <v>28.628740483867578</v>
      </c>
      <c r="W35" s="20">
        <f t="shared" ref="W35:W69" si="26">IF(N36=TRUE,O35+0.5,NA())</f>
        <v>32.5</v>
      </c>
      <c r="X35" s="20">
        <f t="shared" ref="X35:X66" si="27">IF(AND(N35=TRUE,Q35&gt;=0),W35,NA())</f>
        <v>32.5</v>
      </c>
      <c r="Y35" s="56">
        <f t="shared" ref="Y35:Y66" si="28">IF(ISNA(X35),"",(1+$E$3)^(W35/12))</f>
        <v>1.1048443999623268</v>
      </c>
      <c r="Z35" s="54">
        <f t="shared" si="12"/>
        <v>28.672688251445436</v>
      </c>
      <c r="AA35" s="25">
        <f t="shared" si="13"/>
        <v>35.228288074508086</v>
      </c>
      <c r="AB35" s="25"/>
      <c r="AC35" s="25"/>
      <c r="AD35" s="25"/>
      <c r="AE35" s="25"/>
      <c r="AF35" s="25"/>
      <c r="AG35" s="25"/>
    </row>
    <row r="36" spans="1:33" x14ac:dyDescent="0.25">
      <c r="N36" s="20" t="b">
        <f t="shared" si="22"/>
        <v>1</v>
      </c>
      <c r="O36" s="20">
        <v>33</v>
      </c>
      <c r="P36" s="20">
        <f t="shared" si="7"/>
        <v>33.5</v>
      </c>
      <c r="Q36" s="20">
        <f t="shared" si="23"/>
        <v>27</v>
      </c>
      <c r="R36" s="56">
        <f t="shared" si="24"/>
        <v>1.1065404384215316</v>
      </c>
      <c r="S36" s="56">
        <f t="shared" si="8"/>
        <v>35.781558293718852</v>
      </c>
      <c r="T36" s="56"/>
      <c r="U36" s="23">
        <f t="shared" si="25"/>
        <v>1.1065404384215316</v>
      </c>
      <c r="V36" s="23">
        <f t="shared" si="9"/>
        <v>29.73528092228911</v>
      </c>
      <c r="W36" s="20">
        <f t="shared" si="26"/>
        <v>33.5</v>
      </c>
      <c r="X36" s="20">
        <f t="shared" si="27"/>
        <v>33.5</v>
      </c>
      <c r="Y36" s="56">
        <f t="shared" si="28"/>
        <v>1.1082390804568194</v>
      </c>
      <c r="Z36" s="54">
        <f t="shared" si="12"/>
        <v>29.780927331902255</v>
      </c>
      <c r="AA36" s="25">
        <f t="shared" si="13"/>
        <v>36.336528458751317</v>
      </c>
      <c r="AB36" s="25"/>
      <c r="AC36" s="25"/>
      <c r="AD36" s="25"/>
      <c r="AE36" s="25"/>
      <c r="AF36" s="25"/>
      <c r="AG36" s="25"/>
    </row>
    <row r="37" spans="1:33" x14ac:dyDescent="0.25">
      <c r="A37" t="s">
        <v>49</v>
      </c>
      <c r="C37" t="s">
        <v>43</v>
      </c>
      <c r="D37" t="s">
        <v>33</v>
      </c>
      <c r="E37" t="s">
        <v>116</v>
      </c>
      <c r="G37" t="s">
        <v>43</v>
      </c>
      <c r="N37" s="20" t="b">
        <f t="shared" si="22"/>
        <v>1</v>
      </c>
      <c r="O37" s="20">
        <v>34</v>
      </c>
      <c r="P37" s="20">
        <f t="shared" si="7"/>
        <v>34.5</v>
      </c>
      <c r="Q37" s="20">
        <f t="shared" si="23"/>
        <v>28</v>
      </c>
      <c r="R37" s="56">
        <f t="shared" si="24"/>
        <v>1.1099403300649204</v>
      </c>
      <c r="S37" s="56">
        <f t="shared" si="8"/>
        <v>36.891498623783775</v>
      </c>
      <c r="T37" s="56"/>
      <c r="U37" s="23">
        <f t="shared" si="25"/>
        <v>1.1099403300649204</v>
      </c>
      <c r="V37" s="23">
        <f t="shared" si="9"/>
        <v>30.84522125235403</v>
      </c>
      <c r="W37" s="20">
        <f t="shared" si="26"/>
        <v>34.5</v>
      </c>
      <c r="X37" s="20">
        <f t="shared" si="27"/>
        <v>34.5</v>
      </c>
      <c r="Y37" s="56">
        <f t="shared" si="28"/>
        <v>1.1116441912487005</v>
      </c>
      <c r="Z37" s="54">
        <f t="shared" si="12"/>
        <v>30.892571523150956</v>
      </c>
      <c r="AA37" s="25">
        <f t="shared" si="13"/>
        <v>37.448173957792363</v>
      </c>
      <c r="AB37" s="25"/>
      <c r="AC37" s="25"/>
      <c r="AD37" s="25"/>
      <c r="AE37" s="25"/>
      <c r="AF37" s="25"/>
      <c r="AG37" s="25"/>
    </row>
    <row r="38" spans="1:33" x14ac:dyDescent="0.25">
      <c r="A38">
        <f>D5</f>
        <v>0</v>
      </c>
      <c r="D38" s="39">
        <f>E5</f>
        <v>1</v>
      </c>
      <c r="N38" s="20" t="b">
        <f t="shared" si="22"/>
        <v>1</v>
      </c>
      <c r="O38" s="20">
        <v>35</v>
      </c>
      <c r="P38" s="20">
        <f t="shared" si="7"/>
        <v>35.5</v>
      </c>
      <c r="Q38" s="20">
        <f t="shared" si="23"/>
        <v>29</v>
      </c>
      <c r="R38" s="56">
        <f t="shared" si="24"/>
        <v>1.1133506680171701</v>
      </c>
      <c r="S38" s="56">
        <f t="shared" si="8"/>
        <v>38.004849291800944</v>
      </c>
      <c r="T38" s="56"/>
      <c r="U38" s="23">
        <f t="shared" si="25"/>
        <v>1.1133506680171701</v>
      </c>
      <c r="V38" s="23">
        <f t="shared" si="9"/>
        <v>31.958571920371199</v>
      </c>
      <c r="W38" s="20">
        <f>IF(N39=TRUE,O38+0.5,NA())</f>
        <v>35.5</v>
      </c>
      <c r="X38" s="20">
        <f t="shared" si="27"/>
        <v>35.5</v>
      </c>
      <c r="Y38" s="56">
        <f t="shared" si="28"/>
        <v>1.115059764385494</v>
      </c>
      <c r="Z38" s="54">
        <f t="shared" si="12"/>
        <v>32.007631287536448</v>
      </c>
      <c r="AA38" s="25">
        <f>(S38+S39)/2</f>
        <v>38.563235033988448</v>
      </c>
      <c r="AB38" s="25"/>
      <c r="AC38" s="25"/>
      <c r="AD38" s="25"/>
      <c r="AE38" s="25"/>
      <c r="AF38" s="25"/>
      <c r="AG38" s="25"/>
    </row>
    <row r="39" spans="1:33" x14ac:dyDescent="0.25">
      <c r="A39">
        <f>D7</f>
        <v>6</v>
      </c>
      <c r="C39">
        <f>A39-A38</f>
        <v>6</v>
      </c>
      <c r="D39" s="39">
        <f>E7</f>
        <v>1.0185774393731681</v>
      </c>
      <c r="E39" s="43">
        <f>F7</f>
        <v>332.01874820014325</v>
      </c>
      <c r="N39" s="20" t="b">
        <f t="shared" si="22"/>
        <v>1</v>
      </c>
      <c r="O39" s="20">
        <v>36</v>
      </c>
      <c r="P39" s="20">
        <f t="shared" si="7"/>
        <v>36.5</v>
      </c>
      <c r="Q39" s="20">
        <f t="shared" si="23"/>
        <v>30</v>
      </c>
      <c r="R39" s="56">
        <f t="shared" si="24"/>
        <v>1.1167714843750003</v>
      </c>
      <c r="S39" s="56">
        <f>S38+R39</f>
        <v>39.121620776175945</v>
      </c>
      <c r="T39" s="56"/>
      <c r="U39" s="23">
        <f t="shared" si="25"/>
        <v>1.1167714843750003</v>
      </c>
      <c r="V39" s="23">
        <f>V38+U39</f>
        <v>33.075343404746199</v>
      </c>
      <c r="W39" s="20">
        <f t="shared" si="26"/>
        <v>36.5</v>
      </c>
      <c r="X39" s="20">
        <f t="shared" si="27"/>
        <v>36.5</v>
      </c>
      <c r="Y39" s="56">
        <f t="shared" si="28"/>
        <v>1.1184858320131907</v>
      </c>
      <c r="Z39" s="54">
        <f>Z38+Y39</f>
        <v>33.12611711954964</v>
      </c>
      <c r="AA39" s="25">
        <f t="shared" si="13"/>
        <v>39.681722181842815</v>
      </c>
      <c r="AB39" s="25"/>
      <c r="AC39" s="25"/>
      <c r="AD39" s="25"/>
      <c r="AE39" s="25"/>
      <c r="AF39" s="25"/>
      <c r="AG39" s="25"/>
    </row>
    <row r="40" spans="1:33" x14ac:dyDescent="0.25">
      <c r="A40" s="38">
        <f>12*LN(D40)/LN(1+$E$3)</f>
        <v>24.165646043483964</v>
      </c>
      <c r="B40" t="s">
        <v>127</v>
      </c>
      <c r="C40" s="38">
        <f>A40-C39</f>
        <v>18.165646043483964</v>
      </c>
      <c r="D40" s="39">
        <f>F40/(A41-A39)</f>
        <v>1.0769533907683382</v>
      </c>
      <c r="E40" s="25">
        <f>12*(1+$E$3)^(A40/12)/LN(1+$E$3)</f>
        <v>351.04715935280376</v>
      </c>
      <c r="F40" s="43">
        <f>E41-E39</f>
        <v>38.770322067660175</v>
      </c>
      <c r="G40" s="43">
        <f>E40-E39</f>
        <v>19.02841115266051</v>
      </c>
      <c r="N40" s="20" t="b">
        <f t="shared" si="22"/>
        <v>1</v>
      </c>
      <c r="O40" s="20">
        <v>37</v>
      </c>
      <c r="P40" s="20">
        <f t="shared" si="7"/>
        <v>37.5</v>
      </c>
      <c r="Q40" s="20">
        <f t="shared" si="23"/>
        <v>31</v>
      </c>
      <c r="R40" s="56">
        <f t="shared" si="24"/>
        <v>1.120202811333749</v>
      </c>
      <c r="S40" s="56">
        <f t="shared" si="8"/>
        <v>40.241823587509693</v>
      </c>
      <c r="T40" s="56"/>
      <c r="U40" s="23">
        <f t="shared" si="25"/>
        <v>1.120202811333749</v>
      </c>
      <c r="V40" s="23">
        <f t="shared" si="9"/>
        <v>34.195546216079947</v>
      </c>
      <c r="W40" s="20">
        <f t="shared" si="26"/>
        <v>37.5</v>
      </c>
      <c r="X40" s="20">
        <f t="shared" si="27"/>
        <v>37.5</v>
      </c>
      <c r="Y40" s="56">
        <f t="shared" si="28"/>
        <v>1.1219224263765517</v>
      </c>
      <c r="Z40" s="54">
        <f t="shared" si="12"/>
        <v>34.24803954592619</v>
      </c>
      <c r="AA40" s="25">
        <f t="shared" si="13"/>
        <v>40.803645928103535</v>
      </c>
      <c r="AB40" s="25"/>
      <c r="AC40" s="25"/>
      <c r="AD40" s="25"/>
      <c r="AE40" s="25"/>
      <c r="AF40" s="25"/>
      <c r="AG40" s="25"/>
    </row>
    <row r="41" spans="1:33" x14ac:dyDescent="0.25">
      <c r="A41">
        <f>D9</f>
        <v>42</v>
      </c>
      <c r="B41" t="s">
        <v>128</v>
      </c>
      <c r="C41" s="38">
        <f>A41-A40</f>
        <v>17.834353956516036</v>
      </c>
      <c r="D41" s="39">
        <f>E9</f>
        <v>1.1375182389196599</v>
      </c>
      <c r="E41" s="43">
        <f>F9</f>
        <v>370.78907026780342</v>
      </c>
      <c r="G41" s="43">
        <f>E41-E40</f>
        <v>19.741910914999664</v>
      </c>
      <c r="N41" s="20" t="b">
        <f t="shared" si="22"/>
        <v>1</v>
      </c>
      <c r="O41" s="20">
        <v>38</v>
      </c>
      <c r="P41" s="20">
        <f t="shared" si="7"/>
        <v>38.5</v>
      </c>
      <c r="Q41" s="20">
        <f t="shared" si="23"/>
        <v>32</v>
      </c>
      <c r="R41" s="56">
        <f t="shared" si="24"/>
        <v>1.1236446811876761</v>
      </c>
      <c r="S41" s="56">
        <f t="shared" si="8"/>
        <v>41.36546826869737</v>
      </c>
      <c r="T41" s="56"/>
      <c r="U41" s="23">
        <f t="shared" si="25"/>
        <v>1.1236446811876761</v>
      </c>
      <c r="V41" s="23">
        <f t="shared" si="9"/>
        <v>35.319190897267625</v>
      </c>
      <c r="W41" s="20">
        <f t="shared" si="26"/>
        <v>38.5</v>
      </c>
      <c r="X41" s="20">
        <f t="shared" si="27"/>
        <v>38.5</v>
      </c>
      <c r="Y41" s="56">
        <f t="shared" si="28"/>
        <v>1.1253695798194112</v>
      </c>
      <c r="Z41" s="54">
        <f t="shared" si="12"/>
        <v>35.373409125745603</v>
      </c>
      <c r="AA41" s="25">
        <f t="shared" si="13"/>
        <v>41.929016831862505</v>
      </c>
      <c r="AB41" s="25"/>
      <c r="AC41" s="25"/>
      <c r="AD41" s="25"/>
      <c r="AE41" s="25"/>
      <c r="AF41" s="25"/>
      <c r="AG41" s="25"/>
    </row>
    <row r="42" spans="1:33" x14ac:dyDescent="0.25">
      <c r="N42" s="20" t="b">
        <f t="shared" si="22"/>
        <v>1</v>
      </c>
      <c r="O42" s="20">
        <v>39</v>
      </c>
      <c r="P42" s="20">
        <f t="shared" si="7"/>
        <v>39.5</v>
      </c>
      <c r="Q42" s="20">
        <f t="shared" si="23"/>
        <v>33</v>
      </c>
      <c r="R42" s="56">
        <f t="shared" si="24"/>
        <v>1.1270971263302665</v>
      </c>
      <c r="S42" s="56">
        <f t="shared" si="8"/>
        <v>42.49256539502764</v>
      </c>
      <c r="T42" s="56"/>
      <c r="U42" s="23">
        <f t="shared" si="25"/>
        <v>1.1270971263302665</v>
      </c>
      <c r="V42" s="23">
        <f t="shared" si="9"/>
        <v>36.446288023597894</v>
      </c>
      <c r="W42" s="20">
        <f t="shared" si="26"/>
        <v>39.5</v>
      </c>
      <c r="X42" s="20">
        <f t="shared" si="27"/>
        <v>39.5</v>
      </c>
      <c r="Y42" s="56">
        <f t="shared" si="28"/>
        <v>1.1288273247849816</v>
      </c>
      <c r="Z42" s="54">
        <f t="shared" si="12"/>
        <v>36.502236450530582</v>
      </c>
      <c r="AA42" s="25">
        <f t="shared" si="13"/>
        <v>43.057845484654905</v>
      </c>
      <c r="AB42" s="25"/>
      <c r="AC42" s="25"/>
      <c r="AD42" s="25"/>
      <c r="AE42" s="25"/>
      <c r="AF42" s="25"/>
      <c r="AG42" s="25"/>
    </row>
    <row r="43" spans="1:33" x14ac:dyDescent="0.25">
      <c r="B43" t="s">
        <v>120</v>
      </c>
      <c r="C43" s="43">
        <f>G40</f>
        <v>19.02841115266051</v>
      </c>
      <c r="D43" s="38"/>
      <c r="N43" s="20" t="b">
        <f t="shared" si="22"/>
        <v>1</v>
      </c>
      <c r="O43" s="20">
        <v>40</v>
      </c>
      <c r="P43" s="20">
        <f t="shared" si="7"/>
        <v>40.5</v>
      </c>
      <c r="Q43" s="20">
        <f t="shared" si="23"/>
        <v>34</v>
      </c>
      <c r="R43" s="56">
        <f t="shared" si="24"/>
        <v>1.1305601792545357</v>
      </c>
      <c r="S43" s="56">
        <f t="shared" si="8"/>
        <v>43.623125574282177</v>
      </c>
      <c r="T43" s="56"/>
      <c r="U43" s="23">
        <f t="shared" si="25"/>
        <v>1.1305601792545357</v>
      </c>
      <c r="V43" s="23">
        <f t="shared" si="9"/>
        <v>37.576848202852432</v>
      </c>
      <c r="W43" s="20">
        <f t="shared" si="26"/>
        <v>40.5</v>
      </c>
      <c r="X43" s="20">
        <f t="shared" si="27"/>
        <v>40.5</v>
      </c>
      <c r="Y43" s="56">
        <f t="shared" si="28"/>
        <v>1.1322956938161579</v>
      </c>
      <c r="Z43" s="54">
        <f t="shared" si="12"/>
        <v>37.634532144346743</v>
      </c>
      <c r="AA43" s="25">
        <f t="shared" si="13"/>
        <v>44.190142510558843</v>
      </c>
      <c r="AB43" s="25"/>
      <c r="AC43" s="25"/>
      <c r="AD43" s="25"/>
      <c r="AE43" s="25"/>
      <c r="AF43" s="25"/>
      <c r="AG43" s="25"/>
    </row>
    <row r="44" spans="1:33" x14ac:dyDescent="0.25">
      <c r="B44" t="s">
        <v>121</v>
      </c>
      <c r="C44" s="25">
        <f>D40*C41</f>
        <v>19.206767965632672</v>
      </c>
      <c r="D44" s="38"/>
      <c r="E44" t="s">
        <v>125</v>
      </c>
      <c r="F44" t="b">
        <f>C45=C46</f>
        <v>1</v>
      </c>
      <c r="N44" s="20" t="b">
        <f t="shared" si="22"/>
        <v>1</v>
      </c>
      <c r="O44" s="20">
        <v>41</v>
      </c>
      <c r="P44" s="20">
        <f t="shared" si="7"/>
        <v>41.5</v>
      </c>
      <c r="Q44" s="20">
        <f t="shared" si="23"/>
        <v>35</v>
      </c>
      <c r="R44" s="56">
        <f t="shared" si="24"/>
        <v>1.1340338725533354</v>
      </c>
      <c r="S44" s="56">
        <f t="shared" si="8"/>
        <v>44.757159446835516</v>
      </c>
      <c r="T44" s="56"/>
      <c r="U44" s="23">
        <f t="shared" si="25"/>
        <v>1.1340338725533354</v>
      </c>
      <c r="V44" s="23">
        <f t="shared" si="9"/>
        <v>38.71088207540577</v>
      </c>
      <c r="W44" s="20">
        <f t="shared" si="26"/>
        <v>41.5</v>
      </c>
      <c r="X44" s="20">
        <f t="shared" si="27"/>
        <v>41.5</v>
      </c>
      <c r="Y44" s="56">
        <f t="shared" si="28"/>
        <v>1.1357747195558248</v>
      </c>
      <c r="Z44" s="54">
        <f t="shared" si="12"/>
        <v>38.770306863902569</v>
      </c>
      <c r="AA44" s="25">
        <f t="shared" si="13"/>
        <v>45.325918566295343</v>
      </c>
      <c r="AB44" s="25"/>
      <c r="AC44" s="25"/>
      <c r="AD44" s="25"/>
      <c r="AE44" s="25"/>
      <c r="AF44" s="25"/>
      <c r="AG44" s="25"/>
    </row>
    <row r="45" spans="1:33" x14ac:dyDescent="0.25">
      <c r="B45" t="s">
        <v>122</v>
      </c>
      <c r="C45" s="43">
        <f>G41-C44</f>
        <v>0.53514294936699258</v>
      </c>
      <c r="D45" s="38"/>
      <c r="E45" t="s">
        <v>126</v>
      </c>
      <c r="F45" t="b">
        <f>(C43+C45)/C40=C44/C41</f>
        <v>1</v>
      </c>
      <c r="N45" s="20" t="b">
        <f t="shared" si="22"/>
        <v>1</v>
      </c>
      <c r="O45" s="20">
        <v>42</v>
      </c>
      <c r="P45" s="20">
        <f t="shared" si="7"/>
        <v>42.5</v>
      </c>
      <c r="Q45" s="20">
        <f t="shared" si="23"/>
        <v>36</v>
      </c>
      <c r="R45" s="56">
        <f t="shared" si="24"/>
        <v>1.1375182389196599</v>
      </c>
      <c r="S45" s="56">
        <f t="shared" si="8"/>
        <v>45.894677685755177</v>
      </c>
      <c r="T45" s="56"/>
      <c r="U45" s="23">
        <f t="shared" si="25"/>
        <v>1.1375182389196599</v>
      </c>
      <c r="V45" s="23">
        <f t="shared" si="9"/>
        <v>39.848400314325431</v>
      </c>
      <c r="W45" s="20" t="e">
        <f t="shared" si="26"/>
        <v>#N/A</v>
      </c>
      <c r="X45" s="20" t="e">
        <f t="shared" si="27"/>
        <v>#N/A</v>
      </c>
      <c r="Y45" s="56" t="str">
        <f t="shared" si="28"/>
        <v/>
      </c>
      <c r="Z45" s="54"/>
      <c r="AA45" s="25"/>
      <c r="AB45" s="25"/>
      <c r="AC45" s="25"/>
      <c r="AD45" s="25"/>
      <c r="AE45" s="25"/>
      <c r="AF45" s="25"/>
      <c r="AG45" s="25"/>
    </row>
    <row r="46" spans="1:33" x14ac:dyDescent="0.25">
      <c r="B46" t="s">
        <v>124</v>
      </c>
      <c r="C46" s="43">
        <f>(C40*D40)-C43</f>
        <v>0.53514294936699258</v>
      </c>
      <c r="N46" s="20" t="b">
        <f t="shared" si="22"/>
        <v>0</v>
      </c>
      <c r="O46" s="20">
        <v>43</v>
      </c>
      <c r="P46" s="20" t="e">
        <f t="shared" si="7"/>
        <v>#N/A</v>
      </c>
      <c r="Q46" s="20">
        <f t="shared" si="23"/>
        <v>37</v>
      </c>
      <c r="R46" s="23" t="str">
        <f t="shared" si="24"/>
        <v/>
      </c>
      <c r="S46" s="23"/>
      <c r="T46" s="23"/>
      <c r="U46" s="23" t="str">
        <f t="shared" si="25"/>
        <v/>
      </c>
      <c r="V46" s="23"/>
      <c r="W46" s="20" t="e">
        <f t="shared" si="26"/>
        <v>#N/A</v>
      </c>
      <c r="X46" s="20" t="e">
        <f t="shared" si="27"/>
        <v>#N/A</v>
      </c>
      <c r="Y46" s="56" t="str">
        <f t="shared" si="28"/>
        <v/>
      </c>
      <c r="Z46" s="54"/>
      <c r="AA46" s="25"/>
      <c r="AB46" s="25"/>
      <c r="AC46" s="25"/>
      <c r="AD46" s="25"/>
      <c r="AE46" s="25"/>
      <c r="AF46" s="25"/>
      <c r="AG46" s="25"/>
    </row>
    <row r="47" spans="1:33" x14ac:dyDescent="0.25">
      <c r="B47" t="s">
        <v>123</v>
      </c>
      <c r="C47" s="43">
        <f>C43+C45</f>
        <v>19.563554102027503</v>
      </c>
      <c r="D47" s="38"/>
      <c r="N47" s="20" t="b">
        <f t="shared" si="22"/>
        <v>0</v>
      </c>
      <c r="O47" s="20">
        <v>44</v>
      </c>
      <c r="P47" s="20" t="e">
        <f t="shared" si="7"/>
        <v>#N/A</v>
      </c>
      <c r="Q47" s="20">
        <f t="shared" si="23"/>
        <v>38</v>
      </c>
      <c r="R47" s="23" t="str">
        <f t="shared" si="24"/>
        <v/>
      </c>
      <c r="S47" s="23"/>
      <c r="T47" s="23"/>
      <c r="U47" s="23" t="str">
        <f t="shared" si="25"/>
        <v/>
      </c>
      <c r="V47" s="23"/>
      <c r="W47" s="20" t="e">
        <f t="shared" si="26"/>
        <v>#N/A</v>
      </c>
      <c r="X47" s="20" t="e">
        <f t="shared" si="27"/>
        <v>#N/A</v>
      </c>
      <c r="Y47" s="56" t="str">
        <f t="shared" si="28"/>
        <v/>
      </c>
      <c r="Z47" s="54"/>
      <c r="AA47" s="25"/>
      <c r="AB47" s="25"/>
      <c r="AC47" s="25"/>
      <c r="AD47" s="25"/>
      <c r="AE47" s="25"/>
      <c r="AF47" s="25"/>
      <c r="AG47" s="25"/>
    </row>
    <row r="48" spans="1:33" x14ac:dyDescent="0.25">
      <c r="N48" s="20" t="b">
        <f t="shared" si="22"/>
        <v>0</v>
      </c>
      <c r="O48" s="20">
        <v>45</v>
      </c>
      <c r="P48" s="20" t="e">
        <f t="shared" si="7"/>
        <v>#N/A</v>
      </c>
      <c r="Q48" s="20">
        <f t="shared" si="23"/>
        <v>39</v>
      </c>
      <c r="R48" s="23" t="str">
        <f t="shared" si="24"/>
        <v/>
      </c>
      <c r="S48" s="23"/>
      <c r="T48" s="23"/>
      <c r="U48" s="23" t="str">
        <f t="shared" si="25"/>
        <v/>
      </c>
      <c r="V48" s="23"/>
      <c r="W48" s="20" t="e">
        <f>IF(N49=TRUE,O48+0.5,NA())</f>
        <v>#N/A</v>
      </c>
      <c r="X48" s="20" t="e">
        <f t="shared" si="27"/>
        <v>#N/A</v>
      </c>
      <c r="Y48" s="56" t="str">
        <f t="shared" si="28"/>
        <v/>
      </c>
      <c r="Z48" s="54"/>
      <c r="AA48" s="25"/>
      <c r="AB48" s="25"/>
      <c r="AC48" s="25"/>
      <c r="AD48" s="25"/>
      <c r="AE48" s="25"/>
      <c r="AF48" s="25"/>
      <c r="AG48" s="25"/>
    </row>
    <row r="49" spans="1:33" x14ac:dyDescent="0.25">
      <c r="N49" s="20" t="b">
        <f t="shared" si="22"/>
        <v>0</v>
      </c>
      <c r="O49" s="20">
        <v>46</v>
      </c>
      <c r="P49" s="20" t="e">
        <f t="shared" si="7"/>
        <v>#N/A</v>
      </c>
      <c r="Q49" s="20">
        <f t="shared" si="23"/>
        <v>40</v>
      </c>
      <c r="R49" s="23" t="str">
        <f t="shared" si="24"/>
        <v/>
      </c>
      <c r="S49" s="23"/>
      <c r="T49" s="23"/>
      <c r="U49" s="23" t="str">
        <f t="shared" si="25"/>
        <v/>
      </c>
      <c r="V49" s="23"/>
      <c r="W49" s="20" t="e">
        <f t="shared" si="26"/>
        <v>#N/A</v>
      </c>
      <c r="X49" s="20" t="e">
        <f t="shared" si="27"/>
        <v>#N/A</v>
      </c>
      <c r="Y49" s="56" t="str">
        <f t="shared" si="28"/>
        <v/>
      </c>
      <c r="Z49" s="54"/>
      <c r="AA49" s="25"/>
      <c r="AB49" s="25"/>
      <c r="AC49" s="25"/>
      <c r="AD49" s="25"/>
      <c r="AE49" s="25"/>
      <c r="AF49" s="25"/>
      <c r="AG49" s="25"/>
    </row>
    <row r="50" spans="1:33" x14ac:dyDescent="0.25">
      <c r="N50" s="20" t="b">
        <f t="shared" si="22"/>
        <v>0</v>
      </c>
      <c r="O50" s="20">
        <v>47</v>
      </c>
      <c r="P50" s="20" t="e">
        <f t="shared" si="7"/>
        <v>#N/A</v>
      </c>
      <c r="Q50" s="20">
        <f t="shared" si="23"/>
        <v>41</v>
      </c>
      <c r="R50" s="23" t="str">
        <f t="shared" si="24"/>
        <v/>
      </c>
      <c r="S50" s="23"/>
      <c r="T50" s="23"/>
      <c r="U50" s="23" t="str">
        <f t="shared" si="25"/>
        <v/>
      </c>
      <c r="V50" s="23"/>
      <c r="W50" s="20" t="e">
        <f t="shared" si="26"/>
        <v>#N/A</v>
      </c>
      <c r="X50" s="20" t="e">
        <f t="shared" si="27"/>
        <v>#N/A</v>
      </c>
      <c r="Y50" s="56" t="str">
        <f t="shared" si="28"/>
        <v/>
      </c>
      <c r="Z50" s="54"/>
      <c r="AA50" s="25"/>
      <c r="AB50" s="25"/>
      <c r="AC50" s="25"/>
      <c r="AD50" s="25"/>
      <c r="AE50" s="25"/>
      <c r="AF50" s="25"/>
      <c r="AG50" s="25"/>
    </row>
    <row r="51" spans="1:33" x14ac:dyDescent="0.25">
      <c r="N51" s="20" t="b">
        <f t="shared" si="22"/>
        <v>0</v>
      </c>
      <c r="O51" s="20">
        <v>48</v>
      </c>
      <c r="P51" s="20" t="e">
        <f t="shared" si="7"/>
        <v>#N/A</v>
      </c>
      <c r="Q51" s="20">
        <f t="shared" si="23"/>
        <v>42</v>
      </c>
      <c r="R51" s="23" t="str">
        <f t="shared" si="24"/>
        <v/>
      </c>
      <c r="S51" s="23"/>
      <c r="T51" s="23"/>
      <c r="U51" s="23" t="str">
        <f t="shared" si="25"/>
        <v/>
      </c>
      <c r="V51" s="23"/>
      <c r="W51" s="20" t="e">
        <f t="shared" si="26"/>
        <v>#N/A</v>
      </c>
      <c r="X51" s="20" t="e">
        <f t="shared" si="27"/>
        <v>#N/A</v>
      </c>
      <c r="Y51" s="56" t="str">
        <f t="shared" si="28"/>
        <v/>
      </c>
      <c r="Z51" s="54"/>
      <c r="AA51" s="25"/>
      <c r="AB51" s="25"/>
      <c r="AC51" s="25"/>
      <c r="AD51" s="25"/>
      <c r="AE51" s="25"/>
      <c r="AF51" s="25"/>
      <c r="AG51" s="25"/>
    </row>
    <row r="52" spans="1:33" x14ac:dyDescent="0.25">
      <c r="N52" s="20" t="b">
        <f t="shared" si="22"/>
        <v>0</v>
      </c>
      <c r="O52" s="20">
        <v>49</v>
      </c>
      <c r="P52" s="20" t="e">
        <f t="shared" si="7"/>
        <v>#N/A</v>
      </c>
      <c r="Q52" s="20">
        <f t="shared" si="23"/>
        <v>43</v>
      </c>
      <c r="R52" s="23" t="str">
        <f t="shared" si="24"/>
        <v/>
      </c>
      <c r="S52" s="23"/>
      <c r="T52" s="23"/>
      <c r="U52" s="23" t="str">
        <f t="shared" si="25"/>
        <v/>
      </c>
      <c r="V52" s="23"/>
      <c r="W52" s="20" t="e">
        <f t="shared" si="26"/>
        <v>#N/A</v>
      </c>
      <c r="X52" s="20" t="e">
        <f t="shared" si="27"/>
        <v>#N/A</v>
      </c>
      <c r="Y52" s="56" t="str">
        <f t="shared" si="28"/>
        <v/>
      </c>
      <c r="Z52" s="54"/>
      <c r="AA52" s="25"/>
      <c r="AB52" s="25"/>
      <c r="AC52" s="25"/>
      <c r="AD52" s="25"/>
      <c r="AE52" s="25"/>
      <c r="AF52" s="25"/>
      <c r="AG52" s="25"/>
    </row>
    <row r="53" spans="1:33" x14ac:dyDescent="0.25">
      <c r="A53" t="s">
        <v>129</v>
      </c>
      <c r="N53" s="20" t="b">
        <f t="shared" si="22"/>
        <v>0</v>
      </c>
      <c r="O53" s="20">
        <v>50</v>
      </c>
      <c r="P53" s="20" t="e">
        <f t="shared" si="7"/>
        <v>#N/A</v>
      </c>
      <c r="Q53" s="20">
        <f t="shared" si="23"/>
        <v>44</v>
      </c>
      <c r="R53" s="23" t="str">
        <f t="shared" si="24"/>
        <v/>
      </c>
      <c r="S53" s="23"/>
      <c r="T53" s="23"/>
      <c r="U53" s="23" t="str">
        <f t="shared" si="25"/>
        <v/>
      </c>
      <c r="V53" s="23"/>
      <c r="W53" s="20" t="e">
        <f t="shared" si="26"/>
        <v>#N/A</v>
      </c>
      <c r="X53" s="20" t="e">
        <f t="shared" si="27"/>
        <v>#N/A</v>
      </c>
      <c r="Y53" s="56" t="str">
        <f t="shared" si="28"/>
        <v/>
      </c>
      <c r="Z53" s="54"/>
      <c r="AA53" s="25"/>
      <c r="AB53" s="25"/>
      <c r="AC53" s="25"/>
      <c r="AD53" s="25"/>
      <c r="AE53" s="25"/>
      <c r="AF53" s="25"/>
      <c r="AG53" s="25"/>
    </row>
    <row r="54" spans="1:33" x14ac:dyDescent="0.25">
      <c r="B54" t="s">
        <v>118</v>
      </c>
      <c r="C54" t="s">
        <v>119</v>
      </c>
      <c r="D54" t="s">
        <v>118</v>
      </c>
      <c r="E54" t="s">
        <v>119</v>
      </c>
      <c r="N54" s="20" t="b">
        <f t="shared" si="22"/>
        <v>0</v>
      </c>
      <c r="O54" s="20">
        <v>51</v>
      </c>
      <c r="P54" s="20" t="e">
        <f t="shared" si="7"/>
        <v>#N/A</v>
      </c>
      <c r="Q54" s="20">
        <f t="shared" si="23"/>
        <v>45</v>
      </c>
      <c r="R54" s="23" t="str">
        <f t="shared" si="24"/>
        <v/>
      </c>
      <c r="S54" s="23"/>
      <c r="T54" s="23"/>
      <c r="U54" s="23" t="str">
        <f t="shared" si="25"/>
        <v/>
      </c>
      <c r="V54" s="23"/>
      <c r="W54" s="20" t="e">
        <f t="shared" si="26"/>
        <v>#N/A</v>
      </c>
      <c r="X54" s="20" t="e">
        <f t="shared" si="27"/>
        <v>#N/A</v>
      </c>
      <c r="Y54" s="56" t="str">
        <f t="shared" si="28"/>
        <v/>
      </c>
      <c r="Z54" s="54"/>
      <c r="AA54" s="25"/>
      <c r="AB54" s="25"/>
      <c r="AC54" s="25"/>
      <c r="AD54" s="25"/>
      <c r="AE54" s="25"/>
      <c r="AF54" s="25"/>
      <c r="AG54" s="25"/>
    </row>
    <row r="55" spans="1:33" x14ac:dyDescent="0.25">
      <c r="B55" s="38">
        <f>A40+0.5</f>
        <v>24.665646043483964</v>
      </c>
      <c r="C55">
        <v>0</v>
      </c>
      <c r="D55" s="38">
        <f>A39+0.5</f>
        <v>6.5</v>
      </c>
      <c r="E55" s="43">
        <f>C56</f>
        <v>1.0769533907683382</v>
      </c>
      <c r="N55" s="20" t="b">
        <f t="shared" si="22"/>
        <v>0</v>
      </c>
      <c r="O55" s="20">
        <v>52</v>
      </c>
      <c r="P55" s="20" t="e">
        <f t="shared" si="7"/>
        <v>#N/A</v>
      </c>
      <c r="Q55" s="20">
        <f t="shared" si="23"/>
        <v>46</v>
      </c>
      <c r="R55" s="23" t="str">
        <f t="shared" si="24"/>
        <v/>
      </c>
      <c r="S55" s="23"/>
      <c r="T55" s="23"/>
      <c r="U55" s="23" t="str">
        <f t="shared" si="25"/>
        <v/>
      </c>
      <c r="V55" s="23"/>
      <c r="W55" s="20" t="e">
        <f t="shared" si="26"/>
        <v>#N/A</v>
      </c>
      <c r="X55" s="20" t="e">
        <f t="shared" si="27"/>
        <v>#N/A</v>
      </c>
      <c r="Y55" s="56" t="str">
        <f t="shared" si="28"/>
        <v/>
      </c>
      <c r="Z55" s="54"/>
      <c r="AA55" s="25"/>
      <c r="AB55" s="25"/>
      <c r="AC55" s="25"/>
      <c r="AD55" s="25"/>
      <c r="AE55" s="25"/>
      <c r="AF55" s="25"/>
      <c r="AG55" s="25"/>
    </row>
    <row r="56" spans="1:33" x14ac:dyDescent="0.25">
      <c r="B56" s="38">
        <f>A40+0.5</f>
        <v>24.665646043483964</v>
      </c>
      <c r="C56" s="43">
        <f>D40</f>
        <v>1.0769533907683382</v>
      </c>
      <c r="D56">
        <f>A41+0.5</f>
        <v>42.5</v>
      </c>
      <c r="E56" s="43">
        <f>C56</f>
        <v>1.0769533907683382</v>
      </c>
      <c r="N56" s="20" t="b">
        <f t="shared" si="22"/>
        <v>0</v>
      </c>
      <c r="O56" s="20">
        <v>53</v>
      </c>
      <c r="P56" s="20" t="e">
        <f t="shared" si="7"/>
        <v>#N/A</v>
      </c>
      <c r="Q56" s="20">
        <f t="shared" si="23"/>
        <v>47</v>
      </c>
      <c r="R56" s="23" t="str">
        <f t="shared" si="24"/>
        <v/>
      </c>
      <c r="S56" s="23"/>
      <c r="T56" s="23"/>
      <c r="U56" s="23" t="str">
        <f t="shared" si="25"/>
        <v/>
      </c>
      <c r="V56" s="23"/>
      <c r="W56" s="20" t="e">
        <f t="shared" si="26"/>
        <v>#N/A</v>
      </c>
      <c r="X56" s="20" t="e">
        <f t="shared" si="27"/>
        <v>#N/A</v>
      </c>
      <c r="Y56" s="56" t="str">
        <f t="shared" si="28"/>
        <v/>
      </c>
      <c r="Z56" s="54"/>
      <c r="AA56" s="25"/>
      <c r="AB56" s="25"/>
      <c r="AC56" s="25"/>
      <c r="AD56" s="25"/>
      <c r="AE56" s="25"/>
      <c r="AF56" s="25"/>
      <c r="AG56" s="25"/>
    </row>
    <row r="57" spans="1:33" x14ac:dyDescent="0.25">
      <c r="N57" s="20" t="b">
        <f t="shared" si="22"/>
        <v>0</v>
      </c>
      <c r="O57" s="20">
        <v>54</v>
      </c>
      <c r="P57" s="20" t="e">
        <f t="shared" si="7"/>
        <v>#N/A</v>
      </c>
      <c r="Q57" s="20">
        <f t="shared" si="23"/>
        <v>48</v>
      </c>
      <c r="R57" s="23" t="str">
        <f t="shared" si="24"/>
        <v/>
      </c>
      <c r="S57" s="23"/>
      <c r="T57" s="23"/>
      <c r="U57" s="23" t="str">
        <f t="shared" si="25"/>
        <v/>
      </c>
      <c r="V57" s="23"/>
      <c r="W57" s="20" t="e">
        <f t="shared" si="26"/>
        <v>#N/A</v>
      </c>
      <c r="X57" s="20" t="e">
        <f t="shared" si="27"/>
        <v>#N/A</v>
      </c>
      <c r="Y57" s="56" t="str">
        <f t="shared" si="28"/>
        <v/>
      </c>
      <c r="Z57" s="54"/>
      <c r="AA57" s="25"/>
      <c r="AB57" s="25"/>
      <c r="AC57" s="25"/>
      <c r="AD57" s="25"/>
      <c r="AE57" s="25"/>
      <c r="AF57" s="25"/>
      <c r="AG57" s="25"/>
    </row>
    <row r="58" spans="1:33" x14ac:dyDescent="0.25">
      <c r="N58" s="20" t="b">
        <f t="shared" si="22"/>
        <v>0</v>
      </c>
      <c r="O58" s="20">
        <v>55</v>
      </c>
      <c r="P58" s="20" t="e">
        <f t="shared" si="7"/>
        <v>#N/A</v>
      </c>
      <c r="Q58" s="20">
        <f t="shared" si="23"/>
        <v>49</v>
      </c>
      <c r="R58" s="23" t="str">
        <f t="shared" si="24"/>
        <v/>
      </c>
      <c r="S58" s="23"/>
      <c r="T58" s="23"/>
      <c r="U58" s="23" t="str">
        <f t="shared" si="25"/>
        <v/>
      </c>
      <c r="V58" s="23"/>
      <c r="W58" s="20" t="e">
        <f t="shared" si="26"/>
        <v>#N/A</v>
      </c>
      <c r="X58" s="20" t="e">
        <f t="shared" si="27"/>
        <v>#N/A</v>
      </c>
      <c r="Y58" s="56" t="str">
        <f t="shared" si="28"/>
        <v/>
      </c>
      <c r="Z58" s="54"/>
      <c r="AA58" s="25"/>
      <c r="AB58" s="25"/>
      <c r="AC58" s="25"/>
      <c r="AD58" s="25"/>
      <c r="AE58" s="25"/>
      <c r="AF58" s="25"/>
      <c r="AG58" s="25"/>
    </row>
    <row r="59" spans="1:33" x14ac:dyDescent="0.25">
      <c r="N59" s="20" t="b">
        <f t="shared" si="22"/>
        <v>0</v>
      </c>
      <c r="O59" s="20">
        <v>56</v>
      </c>
      <c r="P59" s="20" t="e">
        <f t="shared" si="7"/>
        <v>#N/A</v>
      </c>
      <c r="Q59" s="20">
        <f t="shared" si="23"/>
        <v>50</v>
      </c>
      <c r="R59" s="23" t="str">
        <f t="shared" si="24"/>
        <v/>
      </c>
      <c r="S59" s="23"/>
      <c r="T59" s="23"/>
      <c r="U59" s="23" t="str">
        <f t="shared" si="25"/>
        <v/>
      </c>
      <c r="V59" s="23"/>
      <c r="W59" s="20" t="e">
        <f t="shared" si="26"/>
        <v>#N/A</v>
      </c>
      <c r="X59" s="20" t="e">
        <f t="shared" si="27"/>
        <v>#N/A</v>
      </c>
      <c r="Y59" s="56" t="str">
        <f t="shared" si="28"/>
        <v/>
      </c>
      <c r="Z59" s="54"/>
      <c r="AA59" s="25"/>
      <c r="AB59" s="25"/>
      <c r="AC59" s="25"/>
      <c r="AD59" s="25"/>
      <c r="AE59" s="25"/>
      <c r="AF59" s="25"/>
      <c r="AG59" s="25"/>
    </row>
    <row r="60" spans="1:33" x14ac:dyDescent="0.25">
      <c r="N60" s="20" t="b">
        <f t="shared" si="22"/>
        <v>0</v>
      </c>
      <c r="O60" s="20">
        <v>57</v>
      </c>
      <c r="P60" s="20" t="e">
        <f t="shared" si="7"/>
        <v>#N/A</v>
      </c>
      <c r="Q60" s="20">
        <f t="shared" si="23"/>
        <v>51</v>
      </c>
      <c r="R60" s="23" t="str">
        <f t="shared" si="24"/>
        <v/>
      </c>
      <c r="S60" s="23"/>
      <c r="T60" s="23"/>
      <c r="U60" s="23" t="str">
        <f t="shared" si="25"/>
        <v/>
      </c>
      <c r="V60" s="23"/>
      <c r="W60" s="20" t="e">
        <f t="shared" si="26"/>
        <v>#N/A</v>
      </c>
      <c r="X60" s="20" t="e">
        <f t="shared" si="27"/>
        <v>#N/A</v>
      </c>
      <c r="Y60" s="56" t="str">
        <f t="shared" si="28"/>
        <v/>
      </c>
      <c r="Z60" s="54"/>
      <c r="AA60" s="25"/>
      <c r="AB60" s="25"/>
      <c r="AC60" s="25"/>
      <c r="AD60" s="25"/>
      <c r="AE60" s="25"/>
      <c r="AF60" s="25"/>
      <c r="AG60" s="25"/>
    </row>
    <row r="61" spans="1:33" x14ac:dyDescent="0.25">
      <c r="N61" s="20" t="b">
        <f t="shared" si="22"/>
        <v>0</v>
      </c>
      <c r="O61" s="20">
        <v>58</v>
      </c>
      <c r="P61" s="20" t="e">
        <f t="shared" si="7"/>
        <v>#N/A</v>
      </c>
      <c r="Q61" s="20">
        <f t="shared" si="23"/>
        <v>52</v>
      </c>
      <c r="R61" s="23" t="str">
        <f t="shared" si="24"/>
        <v/>
      </c>
      <c r="S61" s="23"/>
      <c r="T61" s="23"/>
      <c r="U61" s="23" t="str">
        <f t="shared" si="25"/>
        <v/>
      </c>
      <c r="V61" s="23"/>
      <c r="W61" s="20" t="e">
        <f t="shared" si="26"/>
        <v>#N/A</v>
      </c>
      <c r="X61" s="20" t="e">
        <f t="shared" si="27"/>
        <v>#N/A</v>
      </c>
      <c r="Y61" s="56" t="str">
        <f t="shared" si="28"/>
        <v/>
      </c>
      <c r="Z61" s="54"/>
      <c r="AA61" s="25"/>
      <c r="AB61" s="25"/>
      <c r="AC61" s="25"/>
      <c r="AD61" s="25"/>
      <c r="AE61" s="25"/>
      <c r="AF61" s="25"/>
      <c r="AG61" s="25"/>
    </row>
    <row r="62" spans="1:33" x14ac:dyDescent="0.25">
      <c r="N62" s="20" t="b">
        <f t="shared" si="22"/>
        <v>0</v>
      </c>
      <c r="O62" s="20">
        <v>59</v>
      </c>
      <c r="P62" s="20" t="e">
        <f t="shared" si="7"/>
        <v>#N/A</v>
      </c>
      <c r="Q62" s="20">
        <f t="shared" si="23"/>
        <v>53</v>
      </c>
      <c r="R62" s="23" t="str">
        <f t="shared" si="24"/>
        <v/>
      </c>
      <c r="S62" s="23"/>
      <c r="T62" s="23"/>
      <c r="U62" s="23" t="str">
        <f t="shared" si="25"/>
        <v/>
      </c>
      <c r="V62" s="23"/>
      <c r="W62" s="20" t="e">
        <f t="shared" si="26"/>
        <v>#N/A</v>
      </c>
      <c r="X62" s="20" t="e">
        <f t="shared" si="27"/>
        <v>#N/A</v>
      </c>
      <c r="Y62" s="56" t="str">
        <f t="shared" si="28"/>
        <v/>
      </c>
      <c r="Z62" s="54"/>
      <c r="AA62" s="25"/>
      <c r="AB62" s="25"/>
      <c r="AC62" s="25"/>
      <c r="AD62" s="25"/>
      <c r="AE62" s="25"/>
      <c r="AF62" s="25"/>
      <c r="AG62" s="25"/>
    </row>
    <row r="63" spans="1:33" x14ac:dyDescent="0.25">
      <c r="N63" s="20" t="b">
        <f t="shared" si="22"/>
        <v>0</v>
      </c>
      <c r="O63" s="20">
        <v>60</v>
      </c>
      <c r="P63" s="20" t="e">
        <f t="shared" si="7"/>
        <v>#N/A</v>
      </c>
      <c r="Q63" s="20">
        <f t="shared" si="23"/>
        <v>54</v>
      </c>
      <c r="R63" s="23" t="str">
        <f t="shared" si="24"/>
        <v/>
      </c>
      <c r="S63" s="23"/>
      <c r="T63" s="23"/>
      <c r="U63" s="23" t="str">
        <f t="shared" si="25"/>
        <v/>
      </c>
      <c r="V63" s="23"/>
      <c r="W63" s="20" t="e">
        <f t="shared" si="26"/>
        <v>#N/A</v>
      </c>
      <c r="X63" s="20" t="e">
        <f t="shared" si="27"/>
        <v>#N/A</v>
      </c>
      <c r="Y63" s="56" t="str">
        <f t="shared" si="28"/>
        <v/>
      </c>
      <c r="Z63" s="54"/>
      <c r="AA63" s="25"/>
      <c r="AB63" s="25"/>
      <c r="AC63" s="25"/>
      <c r="AD63" s="25"/>
      <c r="AE63" s="25"/>
      <c r="AF63" s="25"/>
      <c r="AG63" s="25"/>
    </row>
    <row r="64" spans="1:33" x14ac:dyDescent="0.25">
      <c r="N64" s="20" t="b">
        <f t="shared" si="22"/>
        <v>0</v>
      </c>
      <c r="O64" s="20">
        <v>61</v>
      </c>
      <c r="P64" s="20" t="e">
        <f t="shared" si="7"/>
        <v>#N/A</v>
      </c>
      <c r="Q64" s="20">
        <f t="shared" si="23"/>
        <v>55</v>
      </c>
      <c r="R64" s="23" t="str">
        <f t="shared" si="24"/>
        <v/>
      </c>
      <c r="S64" s="23"/>
      <c r="T64" s="23"/>
      <c r="U64" s="23" t="str">
        <f t="shared" si="25"/>
        <v/>
      </c>
      <c r="V64" s="23"/>
      <c r="W64" s="20" t="e">
        <f t="shared" si="26"/>
        <v>#N/A</v>
      </c>
      <c r="X64" s="20" t="e">
        <f t="shared" si="27"/>
        <v>#N/A</v>
      </c>
      <c r="Y64" s="56" t="str">
        <f t="shared" si="28"/>
        <v/>
      </c>
      <c r="Z64" s="54"/>
      <c r="AA64" s="25"/>
      <c r="AB64" s="25"/>
      <c r="AC64" s="25"/>
      <c r="AD64" s="25"/>
      <c r="AE64" s="25"/>
      <c r="AF64" s="25"/>
      <c r="AG64" s="25"/>
    </row>
    <row r="65" spans="13:33" x14ac:dyDescent="0.25">
      <c r="N65" s="20" t="b">
        <f t="shared" si="22"/>
        <v>0</v>
      </c>
      <c r="O65" s="20">
        <v>62</v>
      </c>
      <c r="P65" s="20" t="e">
        <f t="shared" si="7"/>
        <v>#N/A</v>
      </c>
      <c r="Q65" s="20">
        <f t="shared" si="23"/>
        <v>56</v>
      </c>
      <c r="R65" s="23" t="str">
        <f t="shared" si="24"/>
        <v/>
      </c>
      <c r="S65" s="23"/>
      <c r="T65" s="23"/>
      <c r="U65" s="23" t="str">
        <f t="shared" si="25"/>
        <v/>
      </c>
      <c r="V65" s="23"/>
      <c r="W65" s="20" t="e">
        <f t="shared" si="26"/>
        <v>#N/A</v>
      </c>
      <c r="X65" s="20" t="e">
        <f t="shared" si="27"/>
        <v>#N/A</v>
      </c>
      <c r="Y65" s="56" t="str">
        <f t="shared" si="28"/>
        <v/>
      </c>
      <c r="Z65" s="54"/>
      <c r="AA65" s="25"/>
      <c r="AB65" s="25"/>
      <c r="AC65" s="25"/>
      <c r="AD65" s="25"/>
      <c r="AE65" s="25"/>
      <c r="AF65" s="25"/>
      <c r="AG65" s="25"/>
    </row>
    <row r="66" spans="13:33" x14ac:dyDescent="0.25">
      <c r="N66" s="20" t="b">
        <f t="shared" si="22"/>
        <v>0</v>
      </c>
      <c r="O66" s="20">
        <v>63</v>
      </c>
      <c r="P66" s="20" t="e">
        <f t="shared" si="7"/>
        <v>#N/A</v>
      </c>
      <c r="Q66" s="20">
        <f t="shared" si="23"/>
        <v>57</v>
      </c>
      <c r="R66" s="23" t="str">
        <f t="shared" si="24"/>
        <v/>
      </c>
      <c r="S66" s="23"/>
      <c r="T66" s="23"/>
      <c r="U66" s="23" t="str">
        <f t="shared" si="25"/>
        <v/>
      </c>
      <c r="V66" s="23"/>
      <c r="W66" s="20" t="e">
        <f t="shared" si="26"/>
        <v>#N/A</v>
      </c>
      <c r="X66" s="20" t="e">
        <f t="shared" si="27"/>
        <v>#N/A</v>
      </c>
      <c r="Y66" s="56" t="str">
        <f t="shared" si="28"/>
        <v/>
      </c>
      <c r="Z66" s="54"/>
      <c r="AA66" s="25"/>
      <c r="AB66" s="25"/>
      <c r="AC66" s="25"/>
      <c r="AD66" s="25"/>
      <c r="AE66" s="25"/>
      <c r="AF66" s="25"/>
      <c r="AG66" s="25"/>
    </row>
    <row r="67" spans="13:33" x14ac:dyDescent="0.25">
      <c r="N67" s="20" t="b">
        <f t="shared" ref="N67:N69" si="29">O67&lt;=MATCH($D$9,$O$3:$O$69)-1</f>
        <v>0</v>
      </c>
      <c r="O67" s="20">
        <v>64</v>
      </c>
      <c r="P67" s="20" t="e">
        <f t="shared" si="7"/>
        <v>#N/A</v>
      </c>
      <c r="Q67" s="20">
        <f t="shared" si="23"/>
        <v>58</v>
      </c>
      <c r="R67" s="23" t="str">
        <f t="shared" si="24"/>
        <v/>
      </c>
      <c r="S67" s="23"/>
      <c r="T67" s="23"/>
      <c r="U67" s="23" t="str">
        <f t="shared" ref="U67:U69" si="30">IF(Q67&lt;0,"",R67)</f>
        <v/>
      </c>
      <c r="V67" s="23"/>
      <c r="W67" s="20" t="e">
        <f t="shared" si="26"/>
        <v>#N/A</v>
      </c>
      <c r="X67" s="20" t="e">
        <f t="shared" ref="X67:X69" si="31">IF(AND(N67=TRUE,Q67&gt;=0),W67,NA())</f>
        <v>#N/A</v>
      </c>
      <c r="Y67" s="56" t="str">
        <f t="shared" ref="Y67:Y69" si="32">IF(ISNA(X67),"",(1+$E$3)^(W67/12))</f>
        <v/>
      </c>
      <c r="Z67" s="54"/>
      <c r="AA67" s="25"/>
      <c r="AB67" s="25"/>
      <c r="AC67" s="25"/>
      <c r="AD67" s="25"/>
      <c r="AE67" s="25"/>
      <c r="AF67" s="25"/>
      <c r="AG67" s="25"/>
    </row>
    <row r="68" spans="13:33" x14ac:dyDescent="0.25">
      <c r="N68" s="20" t="b">
        <f t="shared" si="29"/>
        <v>0</v>
      </c>
      <c r="O68" s="20">
        <v>65</v>
      </c>
      <c r="P68" s="20" t="e">
        <f t="shared" ref="P68:P69" si="33">IF(N68=TRUE,O68+0.5,NA())</f>
        <v>#N/A</v>
      </c>
      <c r="Q68" s="20">
        <f t="shared" si="23"/>
        <v>59</v>
      </c>
      <c r="R68" s="23" t="str">
        <f t="shared" si="24"/>
        <v/>
      </c>
      <c r="S68" s="23"/>
      <c r="T68" s="23"/>
      <c r="U68" s="23" t="str">
        <f t="shared" si="30"/>
        <v/>
      </c>
      <c r="V68" s="23"/>
      <c r="W68" s="20" t="e">
        <f t="shared" si="26"/>
        <v>#N/A</v>
      </c>
      <c r="X68" s="20" t="e">
        <f t="shared" si="31"/>
        <v>#N/A</v>
      </c>
      <c r="Y68" s="56" t="str">
        <f t="shared" si="32"/>
        <v/>
      </c>
      <c r="Z68" s="54"/>
      <c r="AA68" s="25"/>
      <c r="AB68" s="25"/>
      <c r="AC68" s="25"/>
      <c r="AD68" s="25"/>
      <c r="AE68" s="25"/>
      <c r="AF68" s="25"/>
      <c r="AG68" s="25"/>
    </row>
    <row r="69" spans="13:33" x14ac:dyDescent="0.25">
      <c r="N69" s="20" t="b">
        <f t="shared" si="29"/>
        <v>0</v>
      </c>
      <c r="O69" s="20">
        <v>66</v>
      </c>
      <c r="P69" s="20" t="e">
        <f t="shared" si="33"/>
        <v>#N/A</v>
      </c>
      <c r="Q69" s="20">
        <f t="shared" si="23"/>
        <v>60</v>
      </c>
      <c r="R69" s="23" t="str">
        <f t="shared" si="24"/>
        <v/>
      </c>
      <c r="S69" s="23"/>
      <c r="T69" s="23"/>
      <c r="U69" s="23" t="str">
        <f t="shared" si="30"/>
        <v/>
      </c>
      <c r="V69" s="23"/>
      <c r="W69" s="20" t="e">
        <f t="shared" si="26"/>
        <v>#N/A</v>
      </c>
      <c r="X69" s="20" t="e">
        <f t="shared" si="31"/>
        <v>#N/A</v>
      </c>
      <c r="Y69" s="56" t="str">
        <f t="shared" si="32"/>
        <v/>
      </c>
      <c r="Z69" s="54"/>
      <c r="AA69" s="25"/>
      <c r="AB69" s="25"/>
      <c r="AC69" s="25"/>
      <c r="AD69" s="25"/>
      <c r="AE69" s="25"/>
      <c r="AF69" s="25"/>
      <c r="AG69" s="25"/>
    </row>
    <row r="70" spans="13:33" x14ac:dyDescent="0.25">
      <c r="M70" s="78" t="s">
        <v>41</v>
      </c>
      <c r="O70">
        <f>Q70+6</f>
        <v>6</v>
      </c>
      <c r="Q70">
        <v>0</v>
      </c>
      <c r="R70" s="43">
        <f>SUMIF(Q3:Q69,"&lt;=0",R3:R69)-($E$7/2)-(MIN(R3:R69)/2)</f>
        <v>6.0555660911163223</v>
      </c>
      <c r="S70" s="43"/>
      <c r="T70" s="43"/>
      <c r="Y70" s="54"/>
      <c r="Z70" s="54"/>
      <c r="AA70" s="25"/>
      <c r="AB70" s="25"/>
      <c r="AC70" s="25"/>
      <c r="AD70" s="25"/>
      <c r="AE70" s="25"/>
      <c r="AF70" s="25"/>
      <c r="AG70" s="25"/>
    </row>
    <row r="71" spans="13:33" x14ac:dyDescent="0.25">
      <c r="M71" s="78" t="s">
        <v>42</v>
      </c>
      <c r="O71">
        <f>D9</f>
        <v>42</v>
      </c>
      <c r="Q71">
        <f>O71-$D$7</f>
        <v>36</v>
      </c>
      <c r="R71" s="43">
        <f>SUM(R3:R69)-(MAX(R3:R69)/2)-(MIN(R3:R69)/2)</f>
        <v>44.82591856629535</v>
      </c>
      <c r="S71" s="43"/>
      <c r="T71" s="43"/>
      <c r="AA71" s="25"/>
      <c r="AB71" s="25"/>
      <c r="AC71" s="25"/>
      <c r="AD71" s="25"/>
      <c r="AE71" s="25"/>
      <c r="AF71" s="25"/>
      <c r="AG71" s="25"/>
    </row>
    <row r="72" spans="13:33" x14ac:dyDescent="0.25">
      <c r="M72" s="78" t="s">
        <v>43</v>
      </c>
      <c r="O72">
        <f>O71-O70</f>
        <v>36</v>
      </c>
      <c r="Q72">
        <f>Q71-Q70</f>
        <v>36</v>
      </c>
      <c r="R72" s="43">
        <f>R71-R70</f>
        <v>38.770352475179024</v>
      </c>
      <c r="S72" s="43"/>
      <c r="T72" s="43"/>
      <c r="U72" s="43">
        <f>SUM(U3:U69)-(MAX(U3:U69)/2)-(MIN(U3:U69)/2)</f>
        <v>38.770352475179017</v>
      </c>
      <c r="V72" s="43"/>
      <c r="Y72" s="43">
        <f>SUM(Y3:Y69)-(MAX(Y3:Y69)/2)-(MIN(Y3:Y69)/2)</f>
        <v>37.692348979094753</v>
      </c>
      <c r="Z72" s="43"/>
      <c r="AA72" s="25"/>
      <c r="AB72" s="25"/>
      <c r="AC72" s="25"/>
      <c r="AD72" s="25"/>
      <c r="AE72" s="25"/>
      <c r="AF72" s="25"/>
      <c r="AG72" s="25"/>
    </row>
    <row r="74" spans="13:33" x14ac:dyDescent="0.25">
      <c r="R74" s="43"/>
      <c r="S74" s="43"/>
      <c r="T74" s="43"/>
    </row>
    <row r="75" spans="13:33" x14ac:dyDescent="0.25">
      <c r="R75" s="52"/>
      <c r="S75" s="52"/>
      <c r="T75" s="52"/>
    </row>
  </sheetData>
  <sheetProtection sheet="1" objects="1" scenarios="1"/>
  <mergeCells count="1">
    <mergeCell ref="AC2:AE2"/>
  </mergeCells>
  <pageMargins left="0.7" right="0.7" top="0.75" bottom="0.75" header="0.3" footer="0.3"/>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Order0 xmlns="dd4ffa6e-8705-4555-9f55-56564b025fc7"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B0DB45A1A7894B8F04AFA3EB6DDB4F" ma:contentTypeVersion="8" ma:contentTypeDescription="Create a new document." ma:contentTypeScope="" ma:versionID="61123e814e0df31329e0f44ebeb565db">
  <xsd:schema xmlns:xsd="http://www.w3.org/2001/XMLSchema" xmlns:xs="http://www.w3.org/2001/XMLSchema" xmlns:p="http://schemas.microsoft.com/office/2006/metadata/properties" xmlns:ns1="http://schemas.microsoft.com/sharepoint/v3" xmlns:ns2="808c030f-c0cb-416d-9832-8f716cc70b94" xmlns:ns3="dd4ffa6e-8705-4555-9f55-56564b025fc7" targetNamespace="http://schemas.microsoft.com/office/2006/metadata/properties" ma:root="true" ma:fieldsID="9fbd2fc98fa4789d4557c0adf34eb6cc" ns1:_="" ns2:_="" ns3:_="">
    <xsd:import namespace="http://schemas.microsoft.com/sharepoint/v3"/>
    <xsd:import namespace="808c030f-c0cb-416d-9832-8f716cc70b94"/>
    <xsd:import namespace="dd4ffa6e-8705-4555-9f55-56564b025f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Order0" minOccurs="0"/>
                <xsd:element ref="ns1:_ip_UnifiedCompliancePolicyProperties" minOccurs="0"/>
                <xsd:element ref="ns1:_ip_UnifiedCompliancePolicyUIAc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8c030f-c0cb-416d-9832-8f716cc70b9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4ffa6e-8705-4555-9f55-56564b025f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Order0" ma:index="12" nillable="true" ma:displayName="Order" ma:indexed="true" ma:internalName="Order0">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E18DCE-6E52-493B-B38C-4582E7715267}">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schemas.microsoft.com/sharepoint/v3"/>
    <ds:schemaRef ds:uri="http://schemas.openxmlformats.org/package/2006/metadata/core-properties"/>
    <ds:schemaRef ds:uri="dd4ffa6e-8705-4555-9f55-56564b025fc7"/>
    <ds:schemaRef ds:uri="808c030f-c0cb-416d-9832-8f716cc70b94"/>
  </ds:schemaRefs>
</ds:datastoreItem>
</file>

<file path=customXml/itemProps2.xml><?xml version="1.0" encoding="utf-8"?>
<ds:datastoreItem xmlns:ds="http://schemas.openxmlformats.org/officeDocument/2006/customXml" ds:itemID="{5EB4FF7B-D53C-4620-BF74-016B5D3269FC}">
  <ds:schemaRefs>
    <ds:schemaRef ds:uri="http://schemas.microsoft.com/sharepoint/v3/contenttype/forms"/>
  </ds:schemaRefs>
</ds:datastoreItem>
</file>

<file path=customXml/itemProps3.xml><?xml version="1.0" encoding="utf-8"?>
<ds:datastoreItem xmlns:ds="http://schemas.openxmlformats.org/officeDocument/2006/customXml" ds:itemID="{C879150B-4589-4748-A034-6A8B3837D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8c030f-c0cb-416d-9832-8f716cc70b94"/>
    <ds:schemaRef ds:uri="dd4ffa6e-8705-4555-9f55-56564b025f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992deae9-1c4c-42c8-a310-5088af55ba74}" enabled="0" method="" siteId="{992deae9-1c4c-42c8-a310-5088af55ba7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Salary Rate Table NO Cap</vt:lpstr>
      <vt:lpstr>Salary Rate Table WITH Cap</vt:lpstr>
      <vt:lpstr>Salary Rate Calc.</vt:lpstr>
      <vt:lpstr>Specific Rates of Pay</vt:lpstr>
      <vt:lpstr>Validation</vt:lpstr>
      <vt:lpstr>'Read Me'!Print_Area</vt:lpstr>
      <vt:lpstr>'Salary Rate Calc.'!Print_Area</vt:lpstr>
      <vt:lpstr>'Salary Rate Table NO Cap'!Print_Area</vt:lpstr>
      <vt:lpstr>'Specific Rates of Pay'!Print_Area</vt:lpstr>
      <vt:lpstr>Validation!Print_Area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Dunn</dc:creator>
  <cp:lastModifiedBy>Reynolds, Tobey</cp:lastModifiedBy>
  <dcterms:created xsi:type="dcterms:W3CDTF">2022-07-20T16:59:21Z</dcterms:created>
  <dcterms:modified xsi:type="dcterms:W3CDTF">2023-12-27T18:13:46Z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0x01010044B0DB45A1A7894B8F04AFA3EB6DDB4F</vt:lpwstr>
  </property>
</Properties>
</file>